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https://pdgsa.sharepoint.com/sites/Projects/Shared Documents/Current/WPIF bvn/Models/"/>
    </mc:Choice>
  </mc:AlternateContent>
  <xr:revisionPtr revIDLastSave="61" documentId="8_{23C68559-BA3D-4209-9E76-5EEAEA9AB421}" xr6:coauthVersionLast="47" xr6:coauthVersionMax="47" xr10:uidLastSave="{DC702542-D588-4FFD-9CAF-91FE3881E097}"/>
  <bookViews>
    <workbookView xWindow="-19310" yWindow="-110" windowWidth="19420" windowHeight="10420" xr2:uid="{EB565CAF-3441-457F-91E4-71FB7BEA9D83}"/>
  </bookViews>
  <sheets>
    <sheet name="USER GUIDE" sheetId="14" r:id="rId1"/>
    <sheet name="Summary dashboard" sheetId="7" r:id="rId2"/>
    <sheet name="CMA dashboard" sheetId="1" r:id="rId3"/>
    <sheet name="Data inputs" sheetId="5" r:id="rId4"/>
    <sheet name="CMA function inputs" sheetId="3" r:id="rId5"/>
    <sheet name="E_unitcost" sheetId="8" r:id="rId6"/>
    <sheet name="E_budgeted" sheetId="15" r:id="rId7"/>
    <sheet name="E_mincost" sheetId="16" r:id="rId8"/>
    <sheet name="Limpopo-Olifants CMA" sheetId="9" r:id="rId9"/>
    <sheet name="Inkomati-Pongola CMA" sheetId="10" r:id="rId10"/>
    <sheet name="Mkuze-Mtamvuna CMA" sheetId="6" r:id="rId11"/>
    <sheet name="Vaal-Orange CMA" sheetId="11" r:id="rId12"/>
    <sheet name="Mzimvubu-Tsitsikamma CMA" sheetId="12" r:id="rId13"/>
    <sheet name="Breede-Olifants CMA" sheetId="13" r:id="rId14"/>
    <sheet name="Lists" sheetId="4" r:id="rId1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K561" i="15" l="1"/>
  <c r="J561" i="15"/>
  <c r="I561" i="15"/>
  <c r="H561" i="15"/>
  <c r="G561" i="15"/>
  <c r="F561" i="15"/>
  <c r="E561" i="15"/>
  <c r="D561" i="15"/>
  <c r="C561" i="15"/>
  <c r="B561" i="15"/>
  <c r="K560" i="15"/>
  <c r="J560" i="15"/>
  <c r="I560" i="15"/>
  <c r="H560" i="15"/>
  <c r="G560" i="15"/>
  <c r="F560" i="15"/>
  <c r="E560" i="15"/>
  <c r="D560" i="15"/>
  <c r="C560" i="15"/>
  <c r="B560" i="15"/>
  <c r="K559" i="15"/>
  <c r="J559" i="15"/>
  <c r="I559" i="15"/>
  <c r="H559" i="15"/>
  <c r="G559" i="15"/>
  <c r="F559" i="15"/>
  <c r="E559" i="15"/>
  <c r="D559" i="15"/>
  <c r="C559" i="15"/>
  <c r="B559" i="15"/>
  <c r="K558" i="15"/>
  <c r="J558" i="15"/>
  <c r="I558" i="15"/>
  <c r="H558" i="15"/>
  <c r="G558" i="15"/>
  <c r="F558" i="15"/>
  <c r="E558" i="15"/>
  <c r="D558" i="15"/>
  <c r="C558" i="15"/>
  <c r="B558" i="15"/>
  <c r="K557" i="15"/>
  <c r="J557" i="15"/>
  <c r="I557" i="15"/>
  <c r="H557" i="15"/>
  <c r="G557" i="15"/>
  <c r="F557" i="15"/>
  <c r="E557" i="15"/>
  <c r="D557" i="15"/>
  <c r="C557" i="15"/>
  <c r="B557" i="15"/>
  <c r="K556" i="15"/>
  <c r="J556" i="15"/>
  <c r="I556" i="15"/>
  <c r="H556" i="15"/>
  <c r="G556" i="15"/>
  <c r="F556" i="15"/>
  <c r="E556" i="15"/>
  <c r="D556" i="15"/>
  <c r="C556" i="15"/>
  <c r="B556" i="15"/>
  <c r="K555" i="15"/>
  <c r="J555" i="15"/>
  <c r="I555" i="15"/>
  <c r="H555" i="15"/>
  <c r="G555" i="15"/>
  <c r="F555" i="15"/>
  <c r="E555" i="15"/>
  <c r="D555" i="15"/>
  <c r="C555" i="15"/>
  <c r="B555" i="15"/>
  <c r="K554" i="15"/>
  <c r="J554" i="15"/>
  <c r="J562" i="15" s="1"/>
  <c r="I554" i="15"/>
  <c r="H554" i="15"/>
  <c r="G554" i="15"/>
  <c r="F554" i="15"/>
  <c r="E554" i="15"/>
  <c r="D554" i="15"/>
  <c r="C554" i="15"/>
  <c r="B554" i="15"/>
  <c r="K553" i="15"/>
  <c r="J553" i="15"/>
  <c r="I553" i="15"/>
  <c r="H553" i="15"/>
  <c r="G553" i="15"/>
  <c r="F553" i="15"/>
  <c r="E553" i="15"/>
  <c r="D553" i="15"/>
  <c r="C553" i="15"/>
  <c r="B553" i="15"/>
  <c r="K552" i="15"/>
  <c r="J552" i="15"/>
  <c r="I552" i="15"/>
  <c r="H552" i="15"/>
  <c r="G552" i="15"/>
  <c r="F552" i="15"/>
  <c r="E552" i="15"/>
  <c r="D552" i="15"/>
  <c r="C552" i="15"/>
  <c r="C562" i="15" s="1"/>
  <c r="B552" i="15"/>
  <c r="K551" i="15"/>
  <c r="J551" i="15"/>
  <c r="I551" i="15"/>
  <c r="I562" i="15" s="1"/>
  <c r="H551" i="15"/>
  <c r="G551" i="15"/>
  <c r="G562" i="15" s="1"/>
  <c r="F551" i="15"/>
  <c r="E551" i="15"/>
  <c r="E562" i="15" s="1"/>
  <c r="D551" i="15"/>
  <c r="C551" i="15"/>
  <c r="B551" i="15"/>
  <c r="D550" i="15"/>
  <c r="E550" i="15" s="1"/>
  <c r="F550" i="15" s="1"/>
  <c r="G550" i="15" s="1"/>
  <c r="H550" i="15" s="1"/>
  <c r="I550" i="15" s="1"/>
  <c r="J550" i="15" s="1"/>
  <c r="K550" i="15" s="1"/>
  <c r="C550" i="15"/>
  <c r="D562" i="15"/>
  <c r="H562" i="15"/>
  <c r="F562" i="15"/>
  <c r="K562" i="15"/>
  <c r="B550" i="15"/>
  <c r="B562" i="15" l="1"/>
  <c r="B23" i="10" l="1"/>
  <c r="E23" i="10" s="1"/>
  <c r="C23" i="10"/>
  <c r="D23" i="10"/>
  <c r="B23" i="6"/>
  <c r="C23" i="6"/>
  <c r="D23" i="6"/>
  <c r="E23" i="6" s="1"/>
  <c r="B23" i="11"/>
  <c r="E23" i="11" s="1"/>
  <c r="C23" i="11"/>
  <c r="D23" i="11"/>
  <c r="B23" i="12"/>
  <c r="C23" i="12"/>
  <c r="D23" i="12"/>
  <c r="E23" i="12" s="1"/>
  <c r="B23" i="13"/>
  <c r="E23" i="13" s="1"/>
  <c r="C23" i="13"/>
  <c r="D23" i="13"/>
  <c r="B23" i="9"/>
  <c r="C23" i="9"/>
  <c r="D23" i="9"/>
  <c r="E23" i="9" s="1"/>
  <c r="C14" i="15" l="1"/>
  <c r="D14" i="15"/>
  <c r="E14" i="15"/>
  <c r="F14" i="15"/>
  <c r="B14" i="15"/>
  <c r="L32" i="1"/>
  <c r="L31" i="1"/>
  <c r="L30" i="1"/>
  <c r="L29" i="1"/>
  <c r="L28" i="1"/>
  <c r="L27" i="1"/>
  <c r="L26" i="1"/>
  <c r="L25" i="1"/>
  <c r="L23" i="1"/>
  <c r="L22" i="1"/>
  <c r="L24" i="1"/>
  <c r="D40" i="5"/>
  <c r="A15" i="3" l="1"/>
  <c r="C40" i="5"/>
  <c r="E40" i="5"/>
  <c r="F40" i="5"/>
  <c r="G40" i="5"/>
  <c r="B40" i="5"/>
  <c r="C4" i="7"/>
  <c r="B4" i="1"/>
  <c r="B447" i="16"/>
  <c r="G13" i="15"/>
  <c r="F13" i="15"/>
  <c r="E13" i="15"/>
  <c r="D13" i="15"/>
  <c r="C13" i="15"/>
  <c r="B13" i="15"/>
  <c r="G12" i="15"/>
  <c r="F12" i="15"/>
  <c r="E12" i="15"/>
  <c r="D12" i="15"/>
  <c r="C12" i="15"/>
  <c r="B12" i="15"/>
  <c r="G11" i="15"/>
  <c r="F11" i="15"/>
  <c r="E11" i="15"/>
  <c r="D11" i="15"/>
  <c r="C11" i="15"/>
  <c r="B11" i="15"/>
  <c r="G10" i="15"/>
  <c r="F10" i="15"/>
  <c r="E10" i="15"/>
  <c r="D10" i="15"/>
  <c r="C10" i="15"/>
  <c r="B10" i="15"/>
  <c r="G9" i="15"/>
  <c r="F9" i="15"/>
  <c r="E9" i="15"/>
  <c r="D9" i="15"/>
  <c r="C9" i="15"/>
  <c r="B9" i="15"/>
  <c r="G8" i="15"/>
  <c r="F8" i="15"/>
  <c r="E8" i="15"/>
  <c r="D8" i="15"/>
  <c r="C8" i="15"/>
  <c r="B8" i="15"/>
  <c r="G7" i="15"/>
  <c r="F7" i="15"/>
  <c r="E7" i="15"/>
  <c r="D7" i="15"/>
  <c r="C7" i="15"/>
  <c r="B7" i="15"/>
  <c r="G6" i="15"/>
  <c r="F6" i="15"/>
  <c r="E6" i="15"/>
  <c r="D6" i="15"/>
  <c r="C6" i="15"/>
  <c r="B6" i="15"/>
  <c r="G5" i="15"/>
  <c r="F5" i="15"/>
  <c r="E5" i="15"/>
  <c r="D5" i="15"/>
  <c r="C5" i="15"/>
  <c r="B5" i="15"/>
  <c r="G4" i="15"/>
  <c r="F4" i="15"/>
  <c r="E4" i="15"/>
  <c r="D4" i="15"/>
  <c r="C4" i="15"/>
  <c r="B4" i="15"/>
  <c r="G3" i="15"/>
  <c r="F3" i="15"/>
  <c r="E3" i="15"/>
  <c r="D3" i="15"/>
  <c r="C3" i="15"/>
  <c r="B3" i="15"/>
  <c r="F18" i="7"/>
  <c r="B18" i="7"/>
  <c r="B1" i="1"/>
  <c r="B457" i="15"/>
  <c r="B3" i="9"/>
  <c r="H3" i="9" s="1"/>
  <c r="G14" i="15" l="1"/>
  <c r="J3" i="9"/>
  <c r="I3" i="9"/>
  <c r="C3" i="9"/>
  <c r="K3" i="9"/>
  <c r="D3" i="9"/>
  <c r="E3" i="9"/>
  <c r="F3" i="9"/>
  <c r="G3" i="9"/>
  <c r="F5" i="1"/>
  <c r="D18" i="7"/>
  <c r="N43" i="10" l="1"/>
  <c r="N43" i="6"/>
  <c r="N43" i="11"/>
  <c r="N43" i="12"/>
  <c r="N43" i="13"/>
  <c r="N43" i="9"/>
  <c r="C1" i="8"/>
  <c r="B16" i="9"/>
  <c r="B17" i="10"/>
  <c r="B19" i="10"/>
  <c r="B20" i="10"/>
  <c r="B24" i="10"/>
  <c r="B25" i="10"/>
  <c r="B26" i="10"/>
  <c r="B17" i="6"/>
  <c r="B19" i="6"/>
  <c r="B20" i="6"/>
  <c r="B24" i="6"/>
  <c r="B25" i="6"/>
  <c r="B26" i="6"/>
  <c r="B17" i="11"/>
  <c r="B19" i="11"/>
  <c r="B20" i="11"/>
  <c r="B24" i="11"/>
  <c r="B25" i="11"/>
  <c r="B26" i="11"/>
  <c r="B17" i="12"/>
  <c r="B19" i="12"/>
  <c r="B20" i="12"/>
  <c r="B24" i="12"/>
  <c r="B25" i="12"/>
  <c r="B26" i="12"/>
  <c r="B17" i="13"/>
  <c r="B19" i="13"/>
  <c r="B20" i="13"/>
  <c r="B24" i="13"/>
  <c r="B25" i="13"/>
  <c r="B26" i="13"/>
  <c r="B17" i="9"/>
  <c r="B19" i="9"/>
  <c r="B20" i="9"/>
  <c r="B24" i="9"/>
  <c r="B25" i="9"/>
  <c r="B26" i="9"/>
  <c r="B16" i="10"/>
  <c r="B16" i="6"/>
  <c r="B16" i="11"/>
  <c r="B16" i="12"/>
  <c r="B16" i="13"/>
  <c r="K29" i="13"/>
  <c r="B29" i="13"/>
  <c r="C26" i="13"/>
  <c r="C25" i="13"/>
  <c r="C24" i="13"/>
  <c r="C20" i="13"/>
  <c r="C19" i="13"/>
  <c r="C17" i="13"/>
  <c r="C16" i="13"/>
  <c r="B13" i="13"/>
  <c r="B12" i="13"/>
  <c r="B11" i="13"/>
  <c r="B10" i="13"/>
  <c r="B9" i="13"/>
  <c r="B8" i="13"/>
  <c r="B7" i="13"/>
  <c r="B6" i="13"/>
  <c r="B5" i="13"/>
  <c r="B4" i="13"/>
  <c r="B3" i="13"/>
  <c r="K29" i="12"/>
  <c r="B29" i="12"/>
  <c r="C26" i="12"/>
  <c r="C25" i="12"/>
  <c r="C24" i="12"/>
  <c r="C20" i="12"/>
  <c r="C19" i="12"/>
  <c r="C17" i="12"/>
  <c r="C16" i="12"/>
  <c r="B13" i="12"/>
  <c r="B12" i="12"/>
  <c r="B11" i="12"/>
  <c r="B10" i="12"/>
  <c r="B9" i="12"/>
  <c r="B8" i="12"/>
  <c r="B7" i="12"/>
  <c r="B6" i="12"/>
  <c r="B5" i="12"/>
  <c r="B4" i="12"/>
  <c r="B3" i="12"/>
  <c r="K29" i="11"/>
  <c r="B29" i="11"/>
  <c r="C26" i="11"/>
  <c r="C25" i="11"/>
  <c r="C24" i="11"/>
  <c r="C20" i="11"/>
  <c r="C19" i="11"/>
  <c r="C17" i="11"/>
  <c r="C16" i="11"/>
  <c r="B13" i="11"/>
  <c r="B12" i="11"/>
  <c r="B11" i="11"/>
  <c r="B10" i="11"/>
  <c r="B9" i="11"/>
  <c r="B8" i="11"/>
  <c r="B7" i="11"/>
  <c r="B6" i="11"/>
  <c r="B5" i="11"/>
  <c r="B4" i="11"/>
  <c r="B3" i="11"/>
  <c r="K29" i="10"/>
  <c r="B29" i="10"/>
  <c r="C26" i="10"/>
  <c r="C25" i="10"/>
  <c r="C24" i="10"/>
  <c r="C20" i="10"/>
  <c r="C19" i="10"/>
  <c r="C17" i="10"/>
  <c r="C16" i="10"/>
  <c r="B13" i="10"/>
  <c r="B12" i="10"/>
  <c r="B11" i="10"/>
  <c r="B10" i="10"/>
  <c r="B9" i="10"/>
  <c r="B37" i="10" s="1"/>
  <c r="B8" i="10"/>
  <c r="B7" i="10"/>
  <c r="B6" i="10"/>
  <c r="B5" i="10"/>
  <c r="B4" i="10"/>
  <c r="B3" i="10"/>
  <c r="K29" i="9"/>
  <c r="B29" i="9"/>
  <c r="C26" i="9"/>
  <c r="C25" i="9"/>
  <c r="C24" i="9"/>
  <c r="C20" i="9"/>
  <c r="C19" i="9"/>
  <c r="C17" i="9"/>
  <c r="C16" i="9"/>
  <c r="B13" i="9"/>
  <c r="B12" i="9"/>
  <c r="B11" i="9"/>
  <c r="B10" i="9"/>
  <c r="B9" i="9"/>
  <c r="B37" i="9" s="1"/>
  <c r="B8" i="9"/>
  <c r="B36" i="9" s="1"/>
  <c r="B7" i="9"/>
  <c r="B6" i="9"/>
  <c r="B5" i="9"/>
  <c r="B4" i="9"/>
  <c r="B4" i="6"/>
  <c r="B5" i="6"/>
  <c r="B6" i="6"/>
  <c r="B7" i="6"/>
  <c r="F7" i="6" s="1"/>
  <c r="B8" i="6"/>
  <c r="B9" i="6"/>
  <c r="B37" i="6" s="1"/>
  <c r="B10" i="6"/>
  <c r="B11" i="6"/>
  <c r="B12" i="6"/>
  <c r="B13" i="6"/>
  <c r="B3" i="6"/>
  <c r="K29" i="6"/>
  <c r="B29" i="6"/>
  <c r="C26" i="6"/>
  <c r="C25" i="6"/>
  <c r="C24" i="6"/>
  <c r="C20" i="6"/>
  <c r="C19" i="6"/>
  <c r="C17" i="6"/>
  <c r="C16" i="6"/>
  <c r="B22" i="15" l="1"/>
  <c r="B35" i="15" s="1"/>
  <c r="B64" i="15" s="1"/>
  <c r="B49" i="9"/>
  <c r="B23" i="15"/>
  <c r="B36" i="15" s="1"/>
  <c r="B50" i="15" s="1"/>
  <c r="B50" i="9"/>
  <c r="B94" i="15"/>
  <c r="B107" i="15" s="1"/>
  <c r="B121" i="15" s="1"/>
  <c r="B50" i="10"/>
  <c r="B165" i="15"/>
  <c r="B50" i="6"/>
  <c r="B130" i="16" s="1"/>
  <c r="D12" i="10"/>
  <c r="C12" i="10"/>
  <c r="K12" i="10"/>
  <c r="J12" i="10"/>
  <c r="I12" i="10"/>
  <c r="H12" i="10"/>
  <c r="G12" i="10"/>
  <c r="F12" i="10"/>
  <c r="E12" i="10"/>
  <c r="E13" i="13"/>
  <c r="D13" i="13"/>
  <c r="K13" i="13"/>
  <c r="C13" i="13"/>
  <c r="J13" i="13"/>
  <c r="I13" i="13"/>
  <c r="H13" i="13"/>
  <c r="G13" i="13"/>
  <c r="F13" i="13"/>
  <c r="K13" i="10"/>
  <c r="C13" i="10"/>
  <c r="J13" i="10"/>
  <c r="I13" i="10"/>
  <c r="H13" i="10"/>
  <c r="D13" i="10"/>
  <c r="G13" i="10"/>
  <c r="F13" i="10"/>
  <c r="E13" i="10"/>
  <c r="K3" i="12"/>
  <c r="C3" i="12"/>
  <c r="J3" i="12"/>
  <c r="I3" i="12"/>
  <c r="H3" i="12"/>
  <c r="D3" i="12"/>
  <c r="G3" i="12"/>
  <c r="F3" i="12"/>
  <c r="E3" i="12"/>
  <c r="H11" i="12"/>
  <c r="G11" i="12"/>
  <c r="F11" i="12"/>
  <c r="E11" i="12"/>
  <c r="I11" i="12"/>
  <c r="D11" i="12"/>
  <c r="K11" i="12"/>
  <c r="C11" i="12"/>
  <c r="J11" i="12"/>
  <c r="K6" i="13"/>
  <c r="C6" i="13"/>
  <c r="J6" i="13"/>
  <c r="I6" i="13"/>
  <c r="H6" i="13"/>
  <c r="G6" i="13"/>
  <c r="F6" i="13"/>
  <c r="E6" i="13"/>
  <c r="D6" i="13"/>
  <c r="E11" i="9"/>
  <c r="D11" i="9"/>
  <c r="K11" i="9"/>
  <c r="C11" i="9"/>
  <c r="J11" i="9"/>
  <c r="I11" i="9"/>
  <c r="H11" i="9"/>
  <c r="F11" i="9"/>
  <c r="G11" i="9"/>
  <c r="H6" i="10"/>
  <c r="G6" i="10"/>
  <c r="F6" i="10"/>
  <c r="E6" i="10"/>
  <c r="D6" i="10"/>
  <c r="K6" i="10"/>
  <c r="C6" i="10"/>
  <c r="I6" i="10"/>
  <c r="J6" i="10"/>
  <c r="J4" i="12"/>
  <c r="I4" i="12"/>
  <c r="H4" i="12"/>
  <c r="G4" i="12"/>
  <c r="F4" i="12"/>
  <c r="E4" i="12"/>
  <c r="K4" i="12"/>
  <c r="D4" i="12"/>
  <c r="C4" i="12"/>
  <c r="G12" i="12"/>
  <c r="F12" i="12"/>
  <c r="E12" i="12"/>
  <c r="D12" i="12"/>
  <c r="K12" i="12"/>
  <c r="C12" i="12"/>
  <c r="J12" i="12"/>
  <c r="I12" i="12"/>
  <c r="H12" i="12"/>
  <c r="J7" i="13"/>
  <c r="I7" i="13"/>
  <c r="H7" i="13"/>
  <c r="G7" i="13"/>
  <c r="C7" i="13"/>
  <c r="F7" i="13"/>
  <c r="E7" i="13"/>
  <c r="D7" i="13"/>
  <c r="K7" i="13"/>
  <c r="H7" i="11"/>
  <c r="G7" i="11"/>
  <c r="F7" i="11"/>
  <c r="E7" i="11"/>
  <c r="I7" i="11"/>
  <c r="D7" i="11"/>
  <c r="K7" i="11"/>
  <c r="C7" i="11"/>
  <c r="J7" i="11"/>
  <c r="G4" i="9"/>
  <c r="F4" i="9"/>
  <c r="E4" i="9"/>
  <c r="D4" i="9"/>
  <c r="K4" i="9"/>
  <c r="C4" i="9"/>
  <c r="J4" i="9"/>
  <c r="I4" i="9"/>
  <c r="H4" i="9"/>
  <c r="D12" i="9"/>
  <c r="C12" i="9"/>
  <c r="K12" i="9"/>
  <c r="J12" i="9"/>
  <c r="I12" i="9"/>
  <c r="H12" i="9"/>
  <c r="G12" i="9"/>
  <c r="F12" i="9"/>
  <c r="E12" i="9"/>
  <c r="G7" i="10"/>
  <c r="F7" i="10"/>
  <c r="E7" i="10"/>
  <c r="D7" i="10"/>
  <c r="H7" i="10"/>
  <c r="K7" i="10"/>
  <c r="C7" i="10"/>
  <c r="J7" i="10"/>
  <c r="I7" i="10"/>
  <c r="G10" i="11"/>
  <c r="F10" i="11"/>
  <c r="E10" i="11"/>
  <c r="D10" i="11"/>
  <c r="K10" i="11"/>
  <c r="C10" i="11"/>
  <c r="J10" i="11"/>
  <c r="I10" i="11"/>
  <c r="H10" i="11"/>
  <c r="F13" i="12"/>
  <c r="E13" i="12"/>
  <c r="D13" i="12"/>
  <c r="K13" i="12"/>
  <c r="C13" i="12"/>
  <c r="G13" i="12"/>
  <c r="J13" i="12"/>
  <c r="I13" i="12"/>
  <c r="H13" i="12"/>
  <c r="I8" i="13"/>
  <c r="H8" i="13"/>
  <c r="G8" i="13"/>
  <c r="F8" i="13"/>
  <c r="J8" i="13"/>
  <c r="E8" i="13"/>
  <c r="D8" i="13"/>
  <c r="K8" i="13"/>
  <c r="C8" i="13"/>
  <c r="J3" i="10"/>
  <c r="I3" i="10"/>
  <c r="H3" i="10"/>
  <c r="G3" i="10"/>
  <c r="K3" i="10"/>
  <c r="F3" i="10"/>
  <c r="E3" i="10"/>
  <c r="C3" i="10"/>
  <c r="D3" i="10"/>
  <c r="I4" i="10"/>
  <c r="H4" i="10"/>
  <c r="G4" i="10"/>
  <c r="F4" i="10"/>
  <c r="E4" i="10"/>
  <c r="D4" i="10"/>
  <c r="K4" i="10"/>
  <c r="C4" i="10"/>
  <c r="J4" i="10"/>
  <c r="K13" i="9"/>
  <c r="C13" i="9"/>
  <c r="J13" i="9"/>
  <c r="I13" i="9"/>
  <c r="H13" i="9"/>
  <c r="D13" i="9"/>
  <c r="G13" i="9"/>
  <c r="F13" i="9"/>
  <c r="E13" i="9"/>
  <c r="J3" i="11"/>
  <c r="I3" i="11"/>
  <c r="H3" i="11"/>
  <c r="G3" i="11"/>
  <c r="F3" i="11"/>
  <c r="E3" i="11"/>
  <c r="C3" i="11"/>
  <c r="D3" i="11"/>
  <c r="K3" i="11"/>
  <c r="F11" i="11"/>
  <c r="E11" i="11"/>
  <c r="D11" i="11"/>
  <c r="K11" i="11"/>
  <c r="C11" i="11"/>
  <c r="J11" i="11"/>
  <c r="I11" i="11"/>
  <c r="G11" i="11"/>
  <c r="H11" i="11"/>
  <c r="E12" i="11"/>
  <c r="D12" i="11"/>
  <c r="K12" i="11"/>
  <c r="C12" i="11"/>
  <c r="J12" i="11"/>
  <c r="F12" i="11"/>
  <c r="I12" i="11"/>
  <c r="H12" i="11"/>
  <c r="G12" i="11"/>
  <c r="I7" i="12"/>
  <c r="H7" i="12"/>
  <c r="G7" i="12"/>
  <c r="F7" i="12"/>
  <c r="E7" i="12"/>
  <c r="D7" i="12"/>
  <c r="K7" i="12"/>
  <c r="C7" i="12"/>
  <c r="J7" i="12"/>
  <c r="H10" i="13"/>
  <c r="G10" i="13"/>
  <c r="F10" i="13"/>
  <c r="E10" i="13"/>
  <c r="D10" i="13"/>
  <c r="K10" i="13"/>
  <c r="C10" i="13"/>
  <c r="J10" i="13"/>
  <c r="I10" i="13"/>
  <c r="I4" i="11"/>
  <c r="H4" i="11"/>
  <c r="G4" i="11"/>
  <c r="F4" i="11"/>
  <c r="J4" i="11"/>
  <c r="E4" i="11"/>
  <c r="D4" i="11"/>
  <c r="K4" i="11"/>
  <c r="C4" i="11"/>
  <c r="F7" i="9"/>
  <c r="E7" i="9"/>
  <c r="D7" i="9"/>
  <c r="K7" i="9"/>
  <c r="C7" i="9"/>
  <c r="G7" i="9"/>
  <c r="J7" i="9"/>
  <c r="I7" i="9"/>
  <c r="H7" i="9"/>
  <c r="F10" i="10"/>
  <c r="E10" i="10"/>
  <c r="D10" i="10"/>
  <c r="K10" i="10"/>
  <c r="C10" i="10"/>
  <c r="J10" i="10"/>
  <c r="I10" i="10"/>
  <c r="H10" i="10"/>
  <c r="G10" i="10"/>
  <c r="D13" i="11"/>
  <c r="K13" i="11"/>
  <c r="C13" i="11"/>
  <c r="J13" i="11"/>
  <c r="I13" i="11"/>
  <c r="H13" i="11"/>
  <c r="G13" i="11"/>
  <c r="F13" i="11"/>
  <c r="E13" i="11"/>
  <c r="E3" i="13"/>
  <c r="D3" i="13"/>
  <c r="K3" i="13"/>
  <c r="C3" i="13"/>
  <c r="J3" i="13"/>
  <c r="I3" i="13"/>
  <c r="H3" i="13"/>
  <c r="F3" i="13"/>
  <c r="G3" i="13"/>
  <c r="G11" i="13"/>
  <c r="F11" i="13"/>
  <c r="E11" i="13"/>
  <c r="D11" i="13"/>
  <c r="K11" i="13"/>
  <c r="C11" i="13"/>
  <c r="J11" i="13"/>
  <c r="H11" i="13"/>
  <c r="I11" i="13"/>
  <c r="E11" i="10"/>
  <c r="D11" i="10"/>
  <c r="K11" i="10"/>
  <c r="C11" i="10"/>
  <c r="J11" i="10"/>
  <c r="I11" i="10"/>
  <c r="H11" i="10"/>
  <c r="F11" i="10"/>
  <c r="G11" i="10"/>
  <c r="D4" i="13"/>
  <c r="K4" i="13"/>
  <c r="C4" i="13"/>
  <c r="J4" i="13"/>
  <c r="I4" i="13"/>
  <c r="E4" i="13"/>
  <c r="H4" i="13"/>
  <c r="G4" i="13"/>
  <c r="F4" i="13"/>
  <c r="F12" i="13"/>
  <c r="E12" i="13"/>
  <c r="D12" i="13"/>
  <c r="K12" i="13"/>
  <c r="C12" i="13"/>
  <c r="G12" i="13"/>
  <c r="J12" i="13"/>
  <c r="I12" i="13"/>
  <c r="H12" i="13"/>
  <c r="D20" i="13"/>
  <c r="B178" i="15"/>
  <c r="D24" i="11"/>
  <c r="B32" i="9"/>
  <c r="B18" i="15" s="1"/>
  <c r="D16" i="10"/>
  <c r="B41" i="9"/>
  <c r="B27" i="15" s="1"/>
  <c r="D25" i="9"/>
  <c r="B32" i="13"/>
  <c r="C29" i="10"/>
  <c r="D29" i="10" s="1"/>
  <c r="E29" i="10" s="1"/>
  <c r="F29" i="10" s="1"/>
  <c r="G29" i="10" s="1"/>
  <c r="H29" i="10" s="1"/>
  <c r="I29" i="10" s="1"/>
  <c r="J29" i="10" s="1"/>
  <c r="C29" i="9"/>
  <c r="D29" i="9" s="1"/>
  <c r="E29" i="9" s="1"/>
  <c r="F29" i="9" s="1"/>
  <c r="G29" i="9" s="1"/>
  <c r="H29" i="9" s="1"/>
  <c r="I29" i="9" s="1"/>
  <c r="J29" i="9" s="1"/>
  <c r="D26" i="10"/>
  <c r="D26" i="6"/>
  <c r="D26" i="12"/>
  <c r="B31" i="6"/>
  <c r="B159" i="15" s="1"/>
  <c r="C29" i="13"/>
  <c r="D29" i="13" s="1"/>
  <c r="E29" i="13" s="1"/>
  <c r="F29" i="13" s="1"/>
  <c r="G29" i="13" s="1"/>
  <c r="H29" i="13" s="1"/>
  <c r="I29" i="13" s="1"/>
  <c r="J29" i="13" s="1"/>
  <c r="B40" i="9"/>
  <c r="B26" i="15" s="1"/>
  <c r="C29" i="11"/>
  <c r="D29" i="11" s="1"/>
  <c r="E29" i="11" s="1"/>
  <c r="F29" i="11" s="1"/>
  <c r="G29" i="11" s="1"/>
  <c r="H29" i="11" s="1"/>
  <c r="I29" i="11" s="1"/>
  <c r="J29" i="11" s="1"/>
  <c r="C29" i="12"/>
  <c r="D29" i="12" s="1"/>
  <c r="E29" i="12" s="1"/>
  <c r="F29" i="12" s="1"/>
  <c r="G29" i="12" s="1"/>
  <c r="H29" i="12" s="1"/>
  <c r="I29" i="12" s="1"/>
  <c r="J29" i="12" s="1"/>
  <c r="B41" i="11"/>
  <c r="B240" i="15" s="1"/>
  <c r="D26" i="13"/>
  <c r="D26" i="11"/>
  <c r="D26" i="9"/>
  <c r="D20" i="10"/>
  <c r="D19" i="13"/>
  <c r="D24" i="10"/>
  <c r="D17" i="6"/>
  <c r="D25" i="6"/>
  <c r="D25" i="10"/>
  <c r="D19" i="10"/>
  <c r="D20" i="9"/>
  <c r="D16" i="6"/>
  <c r="D16" i="9"/>
  <c r="D16" i="11"/>
  <c r="D24" i="13"/>
  <c r="D25" i="13"/>
  <c r="D17" i="11"/>
  <c r="D16" i="12"/>
  <c r="D17" i="12"/>
  <c r="D24" i="6"/>
  <c r="D19" i="6"/>
  <c r="D24" i="9"/>
  <c r="D20" i="6"/>
  <c r="D19" i="11"/>
  <c r="D25" i="11"/>
  <c r="D19" i="12"/>
  <c r="D24" i="12"/>
  <c r="D16" i="13"/>
  <c r="D17" i="9"/>
  <c r="D19" i="9"/>
  <c r="D17" i="10"/>
  <c r="D20" i="11"/>
  <c r="D20" i="12"/>
  <c r="D25" i="12"/>
  <c r="D17" i="13"/>
  <c r="B41" i="12"/>
  <c r="B41" i="10"/>
  <c r="B98" i="15" s="1"/>
  <c r="B40" i="10"/>
  <c r="B97" i="15" s="1"/>
  <c r="B35" i="13"/>
  <c r="B376" i="15" s="1"/>
  <c r="B36" i="13"/>
  <c r="B49" i="13" s="1"/>
  <c r="B41" i="13"/>
  <c r="B31" i="13"/>
  <c r="B33" i="13"/>
  <c r="B39" i="13"/>
  <c r="B34" i="13"/>
  <c r="B37" i="13"/>
  <c r="B50" i="13" s="1"/>
  <c r="B38" i="13"/>
  <c r="B51" i="13" s="1"/>
  <c r="B40" i="13"/>
  <c r="B34" i="12"/>
  <c r="B304" i="15" s="1"/>
  <c r="B317" i="15" s="1"/>
  <c r="B35" i="12"/>
  <c r="B33" i="12"/>
  <c r="B31" i="12"/>
  <c r="B32" i="12"/>
  <c r="B40" i="12"/>
  <c r="B37" i="12"/>
  <c r="B39" i="12"/>
  <c r="B36" i="12"/>
  <c r="B49" i="12" s="1"/>
  <c r="B38" i="12"/>
  <c r="B31" i="11"/>
  <c r="B230" i="15" s="1"/>
  <c r="B34" i="11"/>
  <c r="B233" i="15" s="1"/>
  <c r="B37" i="11"/>
  <c r="B38" i="11"/>
  <c r="B35" i="11"/>
  <c r="B234" i="15" s="1"/>
  <c r="B36" i="11"/>
  <c r="B33" i="11"/>
  <c r="B32" i="11"/>
  <c r="B231" i="15" s="1"/>
  <c r="B39" i="11"/>
  <c r="B238" i="15" s="1"/>
  <c r="B40" i="11"/>
  <c r="B239" i="15" s="1"/>
  <c r="B36" i="10"/>
  <c r="B49" i="10" s="1"/>
  <c r="B31" i="10"/>
  <c r="B32" i="10"/>
  <c r="B89" i="15" s="1"/>
  <c r="B34" i="10"/>
  <c r="B91" i="15" s="1"/>
  <c r="B104" i="15" s="1"/>
  <c r="B33" i="10"/>
  <c r="B35" i="10"/>
  <c r="B92" i="15" s="1"/>
  <c r="B39" i="10"/>
  <c r="B96" i="15" s="1"/>
  <c r="B38" i="10"/>
  <c r="B38" i="9"/>
  <c r="B31" i="9"/>
  <c r="B17" i="15" s="1"/>
  <c r="B33" i="9"/>
  <c r="B34" i="9"/>
  <c r="B20" i="15" s="1"/>
  <c r="B33" i="15" s="1"/>
  <c r="B35" i="9"/>
  <c r="B21" i="15" s="1"/>
  <c r="B39" i="9"/>
  <c r="B25" i="15" s="1"/>
  <c r="J13" i="6"/>
  <c r="E3" i="6"/>
  <c r="B41" i="6"/>
  <c r="B169" i="15" s="1"/>
  <c r="B34" i="6"/>
  <c r="B162" i="15" s="1"/>
  <c r="B33" i="6"/>
  <c r="B46" i="6" s="1"/>
  <c r="H13" i="6"/>
  <c r="H11" i="6"/>
  <c r="B40" i="6"/>
  <c r="B168" i="15" s="1"/>
  <c r="B32" i="6"/>
  <c r="D12" i="6"/>
  <c r="J11" i="6"/>
  <c r="C3" i="6"/>
  <c r="F13" i="6"/>
  <c r="F11" i="6"/>
  <c r="B39" i="6"/>
  <c r="B167" i="15" s="1"/>
  <c r="C13" i="6"/>
  <c r="E13" i="6"/>
  <c r="E11" i="6"/>
  <c r="B38" i="6"/>
  <c r="C12" i="6"/>
  <c r="D13" i="6"/>
  <c r="D11" i="6"/>
  <c r="C6" i="6"/>
  <c r="F12" i="6"/>
  <c r="B36" i="6"/>
  <c r="E12" i="6"/>
  <c r="B35" i="6"/>
  <c r="B163" i="15" s="1"/>
  <c r="D7" i="6"/>
  <c r="D3" i="6"/>
  <c r="C11" i="6"/>
  <c r="K13" i="6"/>
  <c r="K12" i="6"/>
  <c r="K11" i="6"/>
  <c r="K7" i="6"/>
  <c r="K3" i="6"/>
  <c r="E7" i="6"/>
  <c r="J12" i="6"/>
  <c r="J7" i="6"/>
  <c r="J3" i="6"/>
  <c r="D6" i="6"/>
  <c r="I13" i="6"/>
  <c r="I12" i="6"/>
  <c r="I11" i="6"/>
  <c r="I7" i="6"/>
  <c r="I3" i="6"/>
  <c r="H12" i="6"/>
  <c r="H7" i="6"/>
  <c r="H3" i="6"/>
  <c r="C7" i="6"/>
  <c r="G13" i="6"/>
  <c r="G12" i="6"/>
  <c r="G11" i="6"/>
  <c r="G7" i="6"/>
  <c r="G3" i="6"/>
  <c r="F3" i="6"/>
  <c r="C29" i="6"/>
  <c r="D29" i="6" s="1"/>
  <c r="E29" i="6" s="1"/>
  <c r="F29" i="6" s="1"/>
  <c r="G29" i="6" s="1"/>
  <c r="H29" i="6" s="1"/>
  <c r="I29" i="6" s="1"/>
  <c r="J29" i="6" s="1"/>
  <c r="B136" i="15" l="1"/>
  <c r="B24" i="15"/>
  <c r="B37" i="15" s="1"/>
  <c r="B51" i="15" s="1"/>
  <c r="B51" i="9"/>
  <c r="B13" i="16" s="1"/>
  <c r="B48" i="9"/>
  <c r="E25" i="9"/>
  <c r="B53" i="9"/>
  <c r="B49" i="15"/>
  <c r="B45" i="9"/>
  <c r="B54" i="9"/>
  <c r="B65" i="15"/>
  <c r="B44" i="9"/>
  <c r="B79" i="9"/>
  <c r="B41" i="16" s="1"/>
  <c r="B64" i="9"/>
  <c r="B26" i="16" s="1"/>
  <c r="B47" i="9"/>
  <c r="B52" i="9"/>
  <c r="B63" i="9"/>
  <c r="B25" i="16" s="1"/>
  <c r="B78" i="9"/>
  <c r="B40" i="16" s="1"/>
  <c r="B19" i="15"/>
  <c r="B32" i="15" s="1"/>
  <c r="B46" i="9"/>
  <c r="B45" i="10"/>
  <c r="B53" i="10"/>
  <c r="B54" i="10"/>
  <c r="B63" i="10"/>
  <c r="B78" i="10"/>
  <c r="B52" i="10"/>
  <c r="B48" i="10"/>
  <c r="B95" i="15"/>
  <c r="B51" i="10"/>
  <c r="B90" i="15"/>
  <c r="B103" i="15" s="1"/>
  <c r="B132" i="15" s="1"/>
  <c r="B46" i="10"/>
  <c r="B47" i="10"/>
  <c r="E16" i="10"/>
  <c r="B44" i="10"/>
  <c r="B79" i="10"/>
  <c r="B64" i="10"/>
  <c r="E26" i="6"/>
  <c r="B54" i="6"/>
  <c r="B48" i="6"/>
  <c r="B45" i="6"/>
  <c r="C53" i="6"/>
  <c r="B53" i="6"/>
  <c r="B166" i="15"/>
  <c r="B51" i="6"/>
  <c r="B47" i="6"/>
  <c r="B52" i="6"/>
  <c r="B44" i="6"/>
  <c r="B164" i="15"/>
  <c r="B177" i="15" s="1"/>
  <c r="B49" i="6"/>
  <c r="B129" i="16" s="1"/>
  <c r="B64" i="6"/>
  <c r="B79" i="6"/>
  <c r="B75" i="6"/>
  <c r="B60" i="6"/>
  <c r="B140" i="16" s="1"/>
  <c r="B236" i="15"/>
  <c r="B50" i="11"/>
  <c r="B189" i="16" s="1"/>
  <c r="B53" i="11"/>
  <c r="B45" i="11"/>
  <c r="B54" i="11"/>
  <c r="B232" i="15"/>
  <c r="B46" i="11"/>
  <c r="B185" i="16" s="1"/>
  <c r="B235" i="15"/>
  <c r="B49" i="11"/>
  <c r="B188" i="16" s="1"/>
  <c r="B48" i="11"/>
  <c r="B47" i="11"/>
  <c r="E24" i="11"/>
  <c r="B52" i="11"/>
  <c r="B237" i="15"/>
  <c r="B51" i="11"/>
  <c r="B44" i="11"/>
  <c r="B45" i="12"/>
  <c r="B308" i="15"/>
  <c r="B321" i="15" s="1"/>
  <c r="B51" i="12"/>
  <c r="B249" i="16" s="1"/>
  <c r="B53" i="12"/>
  <c r="B47" i="12"/>
  <c r="B245" i="16" s="1"/>
  <c r="B44" i="12"/>
  <c r="B52" i="12"/>
  <c r="E26" i="12"/>
  <c r="B54" i="12"/>
  <c r="B303" i="15"/>
  <c r="B316" i="15" s="1"/>
  <c r="B330" i="15" s="1"/>
  <c r="B46" i="12"/>
  <c r="B244" i="16" s="1"/>
  <c r="B78" i="12"/>
  <c r="B63" i="12"/>
  <c r="B48" i="12"/>
  <c r="B307" i="15"/>
  <c r="B320" i="15" s="1"/>
  <c r="B50" i="12"/>
  <c r="B248" i="16" s="1"/>
  <c r="B47" i="13"/>
  <c r="B45" i="13"/>
  <c r="B374" i="15"/>
  <c r="B387" i="15" s="1"/>
  <c r="B416" i="15" s="1"/>
  <c r="B46" i="13"/>
  <c r="B303" i="16" s="1"/>
  <c r="B44" i="13"/>
  <c r="B63" i="13"/>
  <c r="B78" i="13"/>
  <c r="B53" i="13"/>
  <c r="B54" i="13"/>
  <c r="B65" i="13"/>
  <c r="B80" i="13"/>
  <c r="B52" i="13"/>
  <c r="B64" i="13"/>
  <c r="B321" i="16" s="1"/>
  <c r="B79" i="13"/>
  <c r="B336" i="16" s="1"/>
  <c r="E20" i="13"/>
  <c r="B48" i="13"/>
  <c r="B160" i="15"/>
  <c r="B173" i="15" s="1"/>
  <c r="B161" i="15"/>
  <c r="B174" i="15" s="1"/>
  <c r="B203" i="15" s="1"/>
  <c r="B345" i="15"/>
  <c r="B359" i="15" s="1"/>
  <c r="B381" i="15"/>
  <c r="B394" i="15" s="1"/>
  <c r="B401" i="15"/>
  <c r="B380" i="15"/>
  <c r="B393" i="15" s="1"/>
  <c r="B375" i="15"/>
  <c r="B388" i="15" s="1"/>
  <c r="B382" i="15"/>
  <c r="B395" i="15" s="1"/>
  <c r="B377" i="15"/>
  <c r="B390" i="15" s="1"/>
  <c r="B379" i="15"/>
  <c r="B392" i="15" s="1"/>
  <c r="B421" i="15" s="1"/>
  <c r="B372" i="15"/>
  <c r="B385" i="15" s="1"/>
  <c r="B373" i="15"/>
  <c r="B386" i="15" s="1"/>
  <c r="B307" i="16"/>
  <c r="B378" i="15"/>
  <c r="B391" i="15" s="1"/>
  <c r="B310" i="15"/>
  <c r="B323" i="15" s="1"/>
  <c r="B302" i="15"/>
  <c r="B315" i="15" s="1"/>
  <c r="B301" i="15"/>
  <c r="B314" i="15" s="1"/>
  <c r="B305" i="15"/>
  <c r="B318" i="15" s="1"/>
  <c r="B311" i="15"/>
  <c r="B324" i="15" s="1"/>
  <c r="B247" i="16"/>
  <c r="B306" i="15"/>
  <c r="B319" i="15" s="1"/>
  <c r="B309" i="15"/>
  <c r="B322" i="15" s="1"/>
  <c r="B118" i="15"/>
  <c r="B133" i="15"/>
  <c r="B70" i="16"/>
  <c r="B93" i="15"/>
  <c r="B106" i="15" s="1"/>
  <c r="B88" i="15"/>
  <c r="B101" i="15" s="1"/>
  <c r="B117" i="15"/>
  <c r="B47" i="15"/>
  <c r="B62" i="15"/>
  <c r="B78" i="15"/>
  <c r="B46" i="15"/>
  <c r="B61" i="15"/>
  <c r="B79" i="15"/>
  <c r="B389" i="15"/>
  <c r="B108" i="15"/>
  <c r="B176" i="15"/>
  <c r="B172" i="15"/>
  <c r="B111" i="15"/>
  <c r="B105" i="15"/>
  <c r="B109" i="15"/>
  <c r="B102" i="15"/>
  <c r="B110" i="15"/>
  <c r="B191" i="15"/>
  <c r="B206" i="15"/>
  <c r="B30" i="15"/>
  <c r="C32" i="9"/>
  <c r="C45" i="9" s="1"/>
  <c r="C31" i="9"/>
  <c r="C17" i="15" s="1"/>
  <c r="B40" i="15"/>
  <c r="B38" i="15"/>
  <c r="B39" i="15"/>
  <c r="B34" i="15"/>
  <c r="B31" i="15"/>
  <c r="C41" i="9"/>
  <c r="C54" i="9" s="1"/>
  <c r="C32" i="13"/>
  <c r="C373" i="15" s="1"/>
  <c r="C41" i="12"/>
  <c r="C311" i="15" s="1"/>
  <c r="C41" i="11"/>
  <c r="C240" i="15" s="1"/>
  <c r="C31" i="6"/>
  <c r="C159" i="15" s="1"/>
  <c r="C39" i="10"/>
  <c r="C96" i="15" s="1"/>
  <c r="C40" i="9"/>
  <c r="C26" i="15" s="1"/>
  <c r="C34" i="10"/>
  <c r="C47" i="10" s="1"/>
  <c r="E17" i="12"/>
  <c r="E20" i="11"/>
  <c r="E19" i="11"/>
  <c r="E24" i="10"/>
  <c r="E17" i="10"/>
  <c r="E20" i="6"/>
  <c r="E16" i="12"/>
  <c r="B131" i="16"/>
  <c r="B126" i="16"/>
  <c r="E20" i="12"/>
  <c r="E16" i="6"/>
  <c r="E19" i="9"/>
  <c r="B9" i="16"/>
  <c r="E20" i="9"/>
  <c r="E26" i="11"/>
  <c r="E17" i="9"/>
  <c r="E24" i="9"/>
  <c r="E25" i="13"/>
  <c r="E20" i="10"/>
  <c r="E25" i="11"/>
  <c r="B71" i="16"/>
  <c r="E17" i="11"/>
  <c r="E19" i="13"/>
  <c r="E16" i="13"/>
  <c r="E19" i="6"/>
  <c r="E24" i="13"/>
  <c r="E19" i="10"/>
  <c r="B68" i="16"/>
  <c r="B11" i="16"/>
  <c r="E26" i="13"/>
  <c r="E24" i="12"/>
  <c r="B12" i="16"/>
  <c r="E25" i="10"/>
  <c r="B8" i="16"/>
  <c r="E17" i="13"/>
  <c r="E16" i="11"/>
  <c r="E25" i="12"/>
  <c r="E19" i="12"/>
  <c r="E24" i="6"/>
  <c r="E16" i="9"/>
  <c r="E25" i="6"/>
  <c r="E26" i="9"/>
  <c r="E26" i="10"/>
  <c r="E17" i="6"/>
  <c r="B125" i="16"/>
  <c r="C35" i="12"/>
  <c r="C305" i="15" s="1"/>
  <c r="C35" i="10"/>
  <c r="C92" i="15" s="1"/>
  <c r="C40" i="11"/>
  <c r="C239" i="15" s="1"/>
  <c r="C39" i="12"/>
  <c r="C309" i="15" s="1"/>
  <c r="C36" i="13"/>
  <c r="C35" i="13"/>
  <c r="C376" i="15" s="1"/>
  <c r="C32" i="11"/>
  <c r="C231" i="15" s="1"/>
  <c r="C40" i="12"/>
  <c r="C53" i="12" s="1"/>
  <c r="C38" i="13"/>
  <c r="C39" i="6"/>
  <c r="C167" i="15" s="1"/>
  <c r="C40" i="10"/>
  <c r="C97" i="15" s="1"/>
  <c r="C34" i="6"/>
  <c r="C162" i="15" s="1"/>
  <c r="C38" i="11"/>
  <c r="C31" i="13"/>
  <c r="C372" i="15" s="1"/>
  <c r="C41" i="10"/>
  <c r="C98" i="15" s="1"/>
  <c r="C31" i="11"/>
  <c r="C230" i="15" s="1"/>
  <c r="C41" i="13"/>
  <c r="C382" i="15" s="1"/>
  <c r="C31" i="12"/>
  <c r="C44" i="12" s="1"/>
  <c r="C31" i="10"/>
  <c r="C88" i="15" s="1"/>
  <c r="C39" i="9"/>
  <c r="C25" i="15" s="1"/>
  <c r="C35" i="9"/>
  <c r="C21" i="15" s="1"/>
  <c r="C39" i="13"/>
  <c r="C52" i="13" s="1"/>
  <c r="C40" i="13"/>
  <c r="C53" i="13" s="1"/>
  <c r="C32" i="12"/>
  <c r="C45" i="12" s="1"/>
  <c r="C35" i="11"/>
  <c r="C234" i="15" s="1"/>
  <c r="C39" i="11"/>
  <c r="C238" i="15" s="1"/>
  <c r="B84" i="16"/>
  <c r="B85" i="16"/>
  <c r="C41" i="6"/>
  <c r="C169" i="15" s="1"/>
  <c r="C35" i="6"/>
  <c r="C163" i="15" s="1"/>
  <c r="C40" i="6"/>
  <c r="C168" i="15" s="1"/>
  <c r="E6" i="6"/>
  <c r="C48" i="11" l="1"/>
  <c r="C62" i="11" s="1"/>
  <c r="C48" i="12"/>
  <c r="C52" i="12"/>
  <c r="C81" i="12" s="1"/>
  <c r="C52" i="9"/>
  <c r="C81" i="9" s="1"/>
  <c r="B44" i="15"/>
  <c r="C44" i="9"/>
  <c r="C58" i="9" s="1"/>
  <c r="C52" i="10"/>
  <c r="C53" i="11"/>
  <c r="C82" i="11" s="1"/>
  <c r="B246" i="16"/>
  <c r="C74" i="9"/>
  <c r="C59" i="9"/>
  <c r="C83" i="9"/>
  <c r="C68" i="9"/>
  <c r="B68" i="9"/>
  <c r="B83" i="9"/>
  <c r="B66" i="15"/>
  <c r="B80" i="15" s="1"/>
  <c r="B58" i="9"/>
  <c r="B73" i="9"/>
  <c r="B67" i="9"/>
  <c r="B96" i="9" s="1"/>
  <c r="B82" i="9"/>
  <c r="B81" i="9"/>
  <c r="B66" i="9"/>
  <c r="C53" i="9"/>
  <c r="C73" i="9"/>
  <c r="B77" i="9"/>
  <c r="B62" i="9"/>
  <c r="B61" i="9"/>
  <c r="B23" i="16" s="1"/>
  <c r="B76" i="9"/>
  <c r="B38" i="16" s="1"/>
  <c r="C48" i="9"/>
  <c r="B74" i="9"/>
  <c r="B59" i="9"/>
  <c r="B65" i="9"/>
  <c r="B27" i="16" s="1"/>
  <c r="B80" i="9"/>
  <c r="B42" i="16" s="1"/>
  <c r="B75" i="9"/>
  <c r="B37" i="16" s="1"/>
  <c r="B60" i="9"/>
  <c r="B22" i="16" s="1"/>
  <c r="C61" i="10"/>
  <c r="C76" i="10"/>
  <c r="B76" i="10"/>
  <c r="B97" i="16" s="1"/>
  <c r="B61" i="10"/>
  <c r="B77" i="10"/>
  <c r="B62" i="10"/>
  <c r="B75" i="10"/>
  <c r="B96" i="16" s="1"/>
  <c r="B60" i="10"/>
  <c r="B81" i="16" s="1"/>
  <c r="B67" i="16"/>
  <c r="B58" i="10"/>
  <c r="B73" i="10"/>
  <c r="B80" i="10"/>
  <c r="B65" i="10"/>
  <c r="B94" i="10" s="1"/>
  <c r="B83" i="10"/>
  <c r="B68" i="10"/>
  <c r="C53" i="10"/>
  <c r="C44" i="10"/>
  <c r="C48" i="10"/>
  <c r="B81" i="10"/>
  <c r="B66" i="10"/>
  <c r="C54" i="10"/>
  <c r="B82" i="10"/>
  <c r="B67" i="10"/>
  <c r="C81" i="10"/>
  <c r="C66" i="10"/>
  <c r="B74" i="10"/>
  <c r="B59" i="10"/>
  <c r="C52" i="6"/>
  <c r="C47" i="6"/>
  <c r="B62" i="6"/>
  <c r="B77" i="6"/>
  <c r="C54" i="6"/>
  <c r="B59" i="6"/>
  <c r="B139" i="16" s="1"/>
  <c r="B74" i="6"/>
  <c r="B154" i="16" s="1"/>
  <c r="C48" i="6"/>
  <c r="C67" i="6"/>
  <c r="C82" i="6"/>
  <c r="B78" i="6"/>
  <c r="B158" i="16" s="1"/>
  <c r="B63" i="6"/>
  <c r="B143" i="16" s="1"/>
  <c r="B73" i="6"/>
  <c r="B58" i="6"/>
  <c r="B65" i="6"/>
  <c r="B145" i="16" s="1"/>
  <c r="B80" i="6"/>
  <c r="B160" i="16" s="1"/>
  <c r="C44" i="6"/>
  <c r="B81" i="6"/>
  <c r="B66" i="6"/>
  <c r="B61" i="6"/>
  <c r="B76" i="6"/>
  <c r="B82" i="6"/>
  <c r="B67" i="6"/>
  <c r="B68" i="6"/>
  <c r="B83" i="6"/>
  <c r="C237" i="15"/>
  <c r="C51" i="11"/>
  <c r="C44" i="11"/>
  <c r="B62" i="11"/>
  <c r="B77" i="11"/>
  <c r="B59" i="11"/>
  <c r="B74" i="11"/>
  <c r="B80" i="11"/>
  <c r="B65" i="11"/>
  <c r="B94" i="11" s="1"/>
  <c r="B68" i="11"/>
  <c r="B83" i="11"/>
  <c r="B61" i="11"/>
  <c r="B76" i="11"/>
  <c r="B63" i="11"/>
  <c r="B202" i="16" s="1"/>
  <c r="B78" i="11"/>
  <c r="C45" i="11"/>
  <c r="B67" i="11"/>
  <c r="B96" i="11" s="1"/>
  <c r="B82" i="11"/>
  <c r="B58" i="11"/>
  <c r="B73" i="11"/>
  <c r="B66" i="11"/>
  <c r="B81" i="11"/>
  <c r="C54" i="11"/>
  <c r="B60" i="11"/>
  <c r="B199" i="16" s="1"/>
  <c r="B75" i="11"/>
  <c r="B64" i="11"/>
  <c r="B203" i="16" s="1"/>
  <c r="B79" i="11"/>
  <c r="C52" i="11"/>
  <c r="C67" i="12"/>
  <c r="C82" i="12"/>
  <c r="C58" i="12"/>
  <c r="C73" i="12"/>
  <c r="C74" i="12"/>
  <c r="C59" i="12"/>
  <c r="B64" i="12"/>
  <c r="B262" i="16" s="1"/>
  <c r="B79" i="12"/>
  <c r="B277" i="16" s="1"/>
  <c r="B74" i="12"/>
  <c r="B59" i="12"/>
  <c r="C54" i="12"/>
  <c r="B73" i="12"/>
  <c r="B58" i="12"/>
  <c r="B77" i="12"/>
  <c r="B62" i="12"/>
  <c r="C77" i="12"/>
  <c r="C62" i="12"/>
  <c r="B81" i="12"/>
  <c r="B66" i="12"/>
  <c r="B95" i="12" s="1"/>
  <c r="B61" i="12"/>
  <c r="B76" i="12"/>
  <c r="B67" i="12"/>
  <c r="B82" i="12"/>
  <c r="B65" i="12"/>
  <c r="B263" i="16" s="1"/>
  <c r="B80" i="12"/>
  <c r="B68" i="12"/>
  <c r="B83" i="12"/>
  <c r="B97" i="12" s="1"/>
  <c r="B75" i="12"/>
  <c r="B273" i="16" s="1"/>
  <c r="B60" i="12"/>
  <c r="B258" i="16" s="1"/>
  <c r="C82" i="13"/>
  <c r="C67" i="13"/>
  <c r="C66" i="13"/>
  <c r="C81" i="13"/>
  <c r="C379" i="15"/>
  <c r="C51" i="13"/>
  <c r="C54" i="13"/>
  <c r="C45" i="13"/>
  <c r="C377" i="15"/>
  <c r="C49" i="13"/>
  <c r="B77" i="13"/>
  <c r="B62" i="13"/>
  <c r="C44" i="13"/>
  <c r="B75" i="13"/>
  <c r="B332" i="16" s="1"/>
  <c r="B60" i="13"/>
  <c r="B317" i="16" s="1"/>
  <c r="C48" i="13"/>
  <c r="B58" i="13"/>
  <c r="B73" i="13"/>
  <c r="B76" i="13"/>
  <c r="B61" i="13"/>
  <c r="B81" i="13"/>
  <c r="B66" i="13"/>
  <c r="B95" i="13" s="1"/>
  <c r="B83" i="13"/>
  <c r="B68" i="13"/>
  <c r="B67" i="13"/>
  <c r="B82" i="13"/>
  <c r="B59" i="13"/>
  <c r="B74" i="13"/>
  <c r="B82" i="16"/>
  <c r="B100" i="16"/>
  <c r="B99" i="16"/>
  <c r="B124" i="16"/>
  <c r="B242" i="16"/>
  <c r="B188" i="15"/>
  <c r="B217" i="15" s="1"/>
  <c r="B250" i="16"/>
  <c r="B306" i="16"/>
  <c r="B364" i="16" s="1"/>
  <c r="B308" i="16"/>
  <c r="B337" i="16"/>
  <c r="B310" i="16"/>
  <c r="B252" i="16"/>
  <c r="B65" i="16"/>
  <c r="B75" i="16"/>
  <c r="B301" i="16"/>
  <c r="B304" i="16"/>
  <c r="B74" i="16"/>
  <c r="B69" i="16"/>
  <c r="B311" i="16"/>
  <c r="B302" i="16"/>
  <c r="B365" i="16"/>
  <c r="B251" i="16"/>
  <c r="B128" i="16"/>
  <c r="B72" i="16"/>
  <c r="B243" i="16"/>
  <c r="B305" i="16"/>
  <c r="B361" i="16"/>
  <c r="B309" i="16"/>
  <c r="B66" i="16"/>
  <c r="B15" i="16"/>
  <c r="B187" i="15"/>
  <c r="B202" i="15"/>
  <c r="B276" i="16"/>
  <c r="B14" i="16"/>
  <c r="B261" i="16"/>
  <c r="B455" i="16" s="1"/>
  <c r="B89" i="6"/>
  <c r="B169" i="16" s="1"/>
  <c r="B155" i="16"/>
  <c r="B16" i="16"/>
  <c r="B73" i="16"/>
  <c r="B7" i="16"/>
  <c r="B10" i="16"/>
  <c r="B6" i="16"/>
  <c r="B406" i="15"/>
  <c r="B322" i="16" s="1"/>
  <c r="B409" i="15"/>
  <c r="B424" i="15"/>
  <c r="B400" i="15"/>
  <c r="B415" i="15"/>
  <c r="B404" i="15"/>
  <c r="B320" i="16" s="1"/>
  <c r="B419" i="15"/>
  <c r="B335" i="16" s="1"/>
  <c r="B408" i="15"/>
  <c r="B324" i="16" s="1"/>
  <c r="B423" i="15"/>
  <c r="B407" i="15"/>
  <c r="B422" i="15"/>
  <c r="B338" i="16" s="1"/>
  <c r="B402" i="15"/>
  <c r="B417" i="15"/>
  <c r="B399" i="15"/>
  <c r="B315" i="16" s="1"/>
  <c r="B414" i="15"/>
  <c r="B405" i="15"/>
  <c r="B420" i="15"/>
  <c r="B347" i="15"/>
  <c r="B332" i="15"/>
  <c r="B333" i="15"/>
  <c r="B348" i="15"/>
  <c r="B120" i="15"/>
  <c r="B135" i="15"/>
  <c r="B75" i="15"/>
  <c r="B76" i="15"/>
  <c r="C381" i="15"/>
  <c r="C394" i="15" s="1"/>
  <c r="C380" i="15"/>
  <c r="C393" i="15" s="1"/>
  <c r="C407" i="15" s="1"/>
  <c r="C27" i="15"/>
  <c r="C40" i="15" s="1"/>
  <c r="C310" i="15"/>
  <c r="C323" i="15" s="1"/>
  <c r="C91" i="15"/>
  <c r="C104" i="15" s="1"/>
  <c r="C18" i="15"/>
  <c r="C31" i="15" s="1"/>
  <c r="C302" i="15"/>
  <c r="C315" i="15" s="1"/>
  <c r="C329" i="15" s="1"/>
  <c r="C301" i="15"/>
  <c r="C314" i="15" s="1"/>
  <c r="B59" i="15"/>
  <c r="B35" i="16" s="1"/>
  <c r="B20" i="16"/>
  <c r="B403" i="15"/>
  <c r="B418" i="15"/>
  <c r="B334" i="16" s="1"/>
  <c r="D36" i="13"/>
  <c r="D49" i="13" s="1"/>
  <c r="C390" i="15"/>
  <c r="C386" i="15"/>
  <c r="D41" i="13"/>
  <c r="D54" i="13" s="1"/>
  <c r="C395" i="15"/>
  <c r="C389" i="15"/>
  <c r="C392" i="15"/>
  <c r="C385" i="15"/>
  <c r="C318" i="15"/>
  <c r="D39" i="12"/>
  <c r="D52" i="12" s="1"/>
  <c r="C322" i="15"/>
  <c r="C324" i="15"/>
  <c r="B122" i="15"/>
  <c r="B137" i="15"/>
  <c r="B101" i="16" s="1"/>
  <c r="B190" i="15"/>
  <c r="B205" i="15"/>
  <c r="C176" i="15"/>
  <c r="C205" i="15" s="1"/>
  <c r="B139" i="15"/>
  <c r="B124" i="15"/>
  <c r="B88" i="16" s="1"/>
  <c r="B130" i="15"/>
  <c r="B115" i="15"/>
  <c r="B79" i="16" s="1"/>
  <c r="B116" i="15"/>
  <c r="B131" i="15"/>
  <c r="B95" i="16" s="1"/>
  <c r="B125" i="15"/>
  <c r="B89" i="16" s="1"/>
  <c r="B140" i="15"/>
  <c r="B123" i="15"/>
  <c r="B87" i="16" s="1"/>
  <c r="B138" i="15"/>
  <c r="B119" i="15"/>
  <c r="B134" i="15"/>
  <c r="C110" i="15"/>
  <c r="C101" i="15"/>
  <c r="D32" i="9"/>
  <c r="D45" i="9" s="1"/>
  <c r="B220" i="15"/>
  <c r="C105" i="15"/>
  <c r="C134" i="15" s="1"/>
  <c r="C109" i="15"/>
  <c r="C111" i="15"/>
  <c r="B146" i="15"/>
  <c r="B150" i="15"/>
  <c r="B45" i="15"/>
  <c r="B21" i="16" s="1"/>
  <c r="B60" i="15"/>
  <c r="B48" i="15"/>
  <c r="B24" i="16" s="1"/>
  <c r="B63" i="15"/>
  <c r="B39" i="16" s="1"/>
  <c r="B53" i="15"/>
  <c r="B29" i="16" s="1"/>
  <c r="B68" i="15"/>
  <c r="B44" i="16" s="1"/>
  <c r="B52" i="15"/>
  <c r="B28" i="16" s="1"/>
  <c r="B67" i="15"/>
  <c r="B54" i="15"/>
  <c r="B69" i="15"/>
  <c r="D41" i="9"/>
  <c r="D54" i="9" s="1"/>
  <c r="B41" i="15"/>
  <c r="D40" i="9"/>
  <c r="D53" i="9" s="1"/>
  <c r="C39" i="15"/>
  <c r="C34" i="15"/>
  <c r="D31" i="6"/>
  <c r="C30" i="15"/>
  <c r="C38" i="15"/>
  <c r="D32" i="13"/>
  <c r="D41" i="12"/>
  <c r="D39" i="10"/>
  <c r="D41" i="11"/>
  <c r="D38" i="13"/>
  <c r="D34" i="10"/>
  <c r="D47" i="10" s="1"/>
  <c r="B79" i="8"/>
  <c r="B82" i="8"/>
  <c r="E27" i="10"/>
  <c r="E27" i="12"/>
  <c r="B55" i="13"/>
  <c r="B55" i="10"/>
  <c r="E27" i="11"/>
  <c r="E27" i="9"/>
  <c r="B75" i="8"/>
  <c r="E27" i="13"/>
  <c r="B81" i="8"/>
  <c r="B73" i="8"/>
  <c r="B77" i="8"/>
  <c r="D40" i="11"/>
  <c r="B76" i="8"/>
  <c r="B74" i="8"/>
  <c r="B83" i="8"/>
  <c r="B78" i="8"/>
  <c r="B80" i="8"/>
  <c r="D35" i="9"/>
  <c r="D34" i="6"/>
  <c r="D39" i="9"/>
  <c r="D40" i="10"/>
  <c r="D31" i="12"/>
  <c r="D41" i="10"/>
  <c r="D35" i="12"/>
  <c r="D31" i="13"/>
  <c r="D35" i="13"/>
  <c r="D48" i="13" s="1"/>
  <c r="D32" i="12"/>
  <c r="D32" i="11"/>
  <c r="D35" i="10"/>
  <c r="D31" i="9"/>
  <c r="D38" i="11"/>
  <c r="B55" i="9"/>
  <c r="E27" i="6"/>
  <c r="B55" i="6"/>
  <c r="D40" i="12"/>
  <c r="D53" i="12" s="1"/>
  <c r="B55" i="11"/>
  <c r="B55" i="12"/>
  <c r="B92" i="13"/>
  <c r="B94" i="6"/>
  <c r="B174" i="16" s="1"/>
  <c r="B93" i="6"/>
  <c r="D39" i="6"/>
  <c r="D31" i="11"/>
  <c r="D35" i="11"/>
  <c r="D31" i="10"/>
  <c r="B96" i="6"/>
  <c r="D39" i="13"/>
  <c r="D52" i="13" s="1"/>
  <c r="B88" i="13"/>
  <c r="B93" i="13"/>
  <c r="B350" i="16" s="1"/>
  <c r="B90" i="13"/>
  <c r="D40" i="13"/>
  <c r="B94" i="13"/>
  <c r="B92" i="12"/>
  <c r="B97" i="11"/>
  <c r="B95" i="11"/>
  <c r="D39" i="11"/>
  <c r="B93" i="10"/>
  <c r="B114" i="16" s="1"/>
  <c r="B92" i="10"/>
  <c r="B113" i="16" s="1"/>
  <c r="B88" i="10"/>
  <c r="B95" i="10"/>
  <c r="B88" i="9"/>
  <c r="B95" i="9"/>
  <c r="B93" i="9"/>
  <c r="B55" i="16" s="1"/>
  <c r="B87" i="9"/>
  <c r="B91" i="9"/>
  <c r="B92" i="9"/>
  <c r="B54" i="16" s="1"/>
  <c r="D41" i="6"/>
  <c r="D40" i="6"/>
  <c r="D35" i="6"/>
  <c r="F6" i="6"/>
  <c r="B90" i="8" a="1"/>
  <c r="B96" i="8" a="1"/>
  <c r="B89" i="8" a="1"/>
  <c r="B97" i="8" a="1"/>
  <c r="B99" i="8" a="1"/>
  <c r="B93" i="8" a="1"/>
  <c r="B91" i="8" a="1"/>
  <c r="B94" i="8" a="1"/>
  <c r="C98" i="8" a="1"/>
  <c r="B98" i="8" a="1"/>
  <c r="B92" i="8" a="1"/>
  <c r="B95" i="8" a="1"/>
  <c r="B339" i="16" l="1"/>
  <c r="B95" i="6"/>
  <c r="B91" i="10"/>
  <c r="C66" i="12"/>
  <c r="B89" i="12"/>
  <c r="B96" i="13"/>
  <c r="B87" i="13"/>
  <c r="B44" i="8"/>
  <c r="B94" i="9"/>
  <c r="B56" i="16" s="1"/>
  <c r="B88" i="12"/>
  <c r="B89" i="13"/>
  <c r="B346" i="16" s="1"/>
  <c r="B330" i="16"/>
  <c r="B97" i="13"/>
  <c r="B87" i="12"/>
  <c r="B36" i="8"/>
  <c r="B87" i="10"/>
  <c r="B88" i="11"/>
  <c r="B142" i="16"/>
  <c r="B333" i="16"/>
  <c r="C67" i="11"/>
  <c r="C96" i="11" s="1"/>
  <c r="C77" i="11"/>
  <c r="B316" i="16"/>
  <c r="B260" i="16"/>
  <c r="B340" i="16"/>
  <c r="B84" i="13"/>
  <c r="B69" i="13"/>
  <c r="B8" i="8" s="1"/>
  <c r="B91" i="13"/>
  <c r="B45" i="8"/>
  <c r="B35" i="8"/>
  <c r="B91" i="6"/>
  <c r="B80" i="16"/>
  <c r="B90" i="12"/>
  <c r="B38" i="8"/>
  <c r="C66" i="9"/>
  <c r="B90" i="10"/>
  <c r="B94" i="16"/>
  <c r="B325" i="16"/>
  <c r="B90" i="6"/>
  <c r="B50" i="8"/>
  <c r="B102" i="16"/>
  <c r="B97" i="10"/>
  <c r="B45" i="16"/>
  <c r="B36" i="16"/>
  <c r="B96" i="12"/>
  <c r="B90" i="9"/>
  <c r="B52" i="16" s="1"/>
  <c r="B31" i="8"/>
  <c r="B84" i="6"/>
  <c r="B13" i="8" s="1"/>
  <c r="B69" i="9"/>
  <c r="B3" i="8" s="1"/>
  <c r="B94" i="12"/>
  <c r="B292" i="16" s="1"/>
  <c r="B157" i="16"/>
  <c r="B33" i="8"/>
  <c r="B30" i="16"/>
  <c r="B31" i="16" s="1"/>
  <c r="B319" i="16"/>
  <c r="B331" i="16"/>
  <c r="B84" i="10"/>
  <c r="B12" i="8" s="1"/>
  <c r="B69" i="10"/>
  <c r="B89" i="9"/>
  <c r="B51" i="16" s="1"/>
  <c r="B89" i="10"/>
  <c r="B110" i="16" s="1"/>
  <c r="B43" i="16"/>
  <c r="B318" i="16"/>
  <c r="B84" i="12"/>
  <c r="B15" i="8" s="1"/>
  <c r="B93" i="12"/>
  <c r="B97" i="6"/>
  <c r="B97" i="9"/>
  <c r="B92" i="6"/>
  <c r="B172" i="16" s="1"/>
  <c r="B323" i="16"/>
  <c r="B278" i="16"/>
  <c r="B90" i="11"/>
  <c r="B69" i="11"/>
  <c r="B6" i="8" s="1"/>
  <c r="B69" i="6"/>
  <c r="B5" i="8" s="1"/>
  <c r="B84" i="9"/>
  <c r="B11" i="8" s="1"/>
  <c r="B46" i="8"/>
  <c r="D68" i="9"/>
  <c r="D83" i="9"/>
  <c r="D21" i="15"/>
  <c r="D34" i="15" s="1"/>
  <c r="D48" i="9"/>
  <c r="D59" i="9"/>
  <c r="D74" i="9"/>
  <c r="D17" i="15"/>
  <c r="D30" i="15" s="1"/>
  <c r="D44" i="9"/>
  <c r="D25" i="15"/>
  <c r="D52" i="9"/>
  <c r="D82" i="9"/>
  <c r="D67" i="9"/>
  <c r="C62" i="9"/>
  <c r="C77" i="9"/>
  <c r="C82" i="9"/>
  <c r="C67" i="9"/>
  <c r="C83" i="10"/>
  <c r="C97" i="10" s="1"/>
  <c r="C68" i="10"/>
  <c r="B104" i="16"/>
  <c r="C82" i="10"/>
  <c r="C67" i="10"/>
  <c r="D76" i="10"/>
  <c r="D61" i="10"/>
  <c r="B96" i="10"/>
  <c r="D98" i="15"/>
  <c r="D54" i="10"/>
  <c r="D92" i="15"/>
  <c r="D105" i="15" s="1"/>
  <c r="D48" i="10"/>
  <c r="D97" i="15"/>
  <c r="D110" i="15" s="1"/>
  <c r="D53" i="10"/>
  <c r="B98" i="16"/>
  <c r="B86" i="16"/>
  <c r="B83" i="16"/>
  <c r="B32" i="8"/>
  <c r="D88" i="15"/>
  <c r="D101" i="15" s="1"/>
  <c r="D44" i="10"/>
  <c r="D96" i="15"/>
  <c r="D109" i="15" s="1"/>
  <c r="D52" i="10"/>
  <c r="B53" i="8"/>
  <c r="B52" i="8"/>
  <c r="C77" i="10"/>
  <c r="C98" i="16" s="1"/>
  <c r="C62" i="10"/>
  <c r="B103" i="16"/>
  <c r="C58" i="10"/>
  <c r="C73" i="10"/>
  <c r="C81" i="6"/>
  <c r="C66" i="6"/>
  <c r="B28" i="8"/>
  <c r="B88" i="6"/>
  <c r="B168" i="16" s="1"/>
  <c r="C77" i="6"/>
  <c r="C157" i="16" s="1"/>
  <c r="C62" i="6"/>
  <c r="B87" i="6"/>
  <c r="D159" i="15"/>
  <c r="D44" i="6"/>
  <c r="C73" i="6"/>
  <c r="C87" i="6" s="1"/>
  <c r="C58" i="6"/>
  <c r="D167" i="15"/>
  <c r="D52" i="6"/>
  <c r="D162" i="15"/>
  <c r="D47" i="6"/>
  <c r="C68" i="6"/>
  <c r="C83" i="6"/>
  <c r="D163" i="15"/>
  <c r="D176" i="15" s="1"/>
  <c r="D48" i="6"/>
  <c r="B51" i="8"/>
  <c r="D168" i="15"/>
  <c r="D53" i="6"/>
  <c r="B29" i="8"/>
  <c r="D169" i="15"/>
  <c r="D54" i="6"/>
  <c r="C61" i="6"/>
  <c r="C76" i="6"/>
  <c r="B89" i="8"/>
  <c r="B96" i="8"/>
  <c r="B94" i="8"/>
  <c r="B97" i="8"/>
  <c r="B90" i="8"/>
  <c r="B95" i="8"/>
  <c r="B92" i="8"/>
  <c r="B93" i="8"/>
  <c r="B99" i="8"/>
  <c r="B98" i="8"/>
  <c r="B91" i="8"/>
  <c r="D230" i="15"/>
  <c r="D44" i="11"/>
  <c r="B91" i="11"/>
  <c r="B93" i="11"/>
  <c r="B232" i="16" s="1"/>
  <c r="B217" i="16"/>
  <c r="B470" i="16" s="1"/>
  <c r="D238" i="15"/>
  <c r="D52" i="11"/>
  <c r="B30" i="8"/>
  <c r="B92" i="11"/>
  <c r="B231" i="16" s="1"/>
  <c r="C66" i="11"/>
  <c r="C81" i="11"/>
  <c r="D240" i="15"/>
  <c r="D54" i="11"/>
  <c r="C59" i="11"/>
  <c r="C74" i="11"/>
  <c r="D234" i="15"/>
  <c r="D247" i="15" s="1"/>
  <c r="D48" i="11"/>
  <c r="C83" i="11"/>
  <c r="C68" i="11"/>
  <c r="B89" i="11"/>
  <c r="B228" i="16" s="1"/>
  <c r="B87" i="11"/>
  <c r="D237" i="15"/>
  <c r="D51" i="11"/>
  <c r="B452" i="16"/>
  <c r="B218" i="16"/>
  <c r="B471" i="16" s="1"/>
  <c r="B34" i="8"/>
  <c r="B456" i="16"/>
  <c r="B84" i="11"/>
  <c r="B14" i="8" s="1"/>
  <c r="B48" i="8"/>
  <c r="D231" i="15"/>
  <c r="D45" i="11"/>
  <c r="B43" i="8"/>
  <c r="B214" i="16"/>
  <c r="B390" i="16" s="1"/>
  <c r="C58" i="11"/>
  <c r="C73" i="11"/>
  <c r="D239" i="15"/>
  <c r="D53" i="11"/>
  <c r="C80" i="11"/>
  <c r="C65" i="11"/>
  <c r="B91" i="12"/>
  <c r="B47" i="8"/>
  <c r="B49" i="8"/>
  <c r="D311" i="15"/>
  <c r="D54" i="12"/>
  <c r="D66" i="12"/>
  <c r="D81" i="12"/>
  <c r="D301" i="15"/>
  <c r="D314" i="15" s="1"/>
  <c r="D44" i="12"/>
  <c r="D305" i="15"/>
  <c r="D48" i="12"/>
  <c r="C68" i="12"/>
  <c r="C83" i="12"/>
  <c r="B37" i="8"/>
  <c r="D82" i="12"/>
  <c r="D67" i="12"/>
  <c r="D302" i="15"/>
  <c r="D315" i="15" s="1"/>
  <c r="D45" i="12"/>
  <c r="B69" i="12"/>
  <c r="B7" i="8" s="1"/>
  <c r="B275" i="16"/>
  <c r="D379" i="15"/>
  <c r="D392" i="15" s="1"/>
  <c r="D51" i="13"/>
  <c r="C77" i="13"/>
  <c r="C62" i="13"/>
  <c r="C74" i="13"/>
  <c r="C59" i="13"/>
  <c r="D381" i="15"/>
  <c r="D53" i="13"/>
  <c r="D373" i="15"/>
  <c r="D386" i="15" s="1"/>
  <c r="D45" i="13"/>
  <c r="D78" i="13"/>
  <c r="D63" i="13"/>
  <c r="C83" i="13"/>
  <c r="C68" i="13"/>
  <c r="C65" i="13"/>
  <c r="C80" i="13"/>
  <c r="C58" i="13"/>
  <c r="C73" i="13"/>
  <c r="D66" i="13"/>
  <c r="D81" i="13"/>
  <c r="D372" i="15"/>
  <c r="D385" i="15" s="1"/>
  <c r="D44" i="13"/>
  <c r="D68" i="13"/>
  <c r="D83" i="13"/>
  <c r="C78" i="13"/>
  <c r="C63" i="13"/>
  <c r="D62" i="13"/>
  <c r="D77" i="13"/>
  <c r="C68" i="16"/>
  <c r="B467" i="16"/>
  <c r="C98" i="8"/>
  <c r="C75" i="16"/>
  <c r="C251" i="16"/>
  <c r="B253" i="16"/>
  <c r="B420" i="16" s="1"/>
  <c r="C309" i="16"/>
  <c r="C301" i="16"/>
  <c r="C302" i="16"/>
  <c r="C311" i="16"/>
  <c r="C242" i="16"/>
  <c r="C16" i="16"/>
  <c r="B312" i="16"/>
  <c r="B421" i="16" s="1"/>
  <c r="B216" i="15"/>
  <c r="C250" i="16"/>
  <c r="C310" i="16"/>
  <c r="C65" i="16"/>
  <c r="C305" i="16"/>
  <c r="C74" i="16"/>
  <c r="C246" i="16"/>
  <c r="B76" i="16"/>
  <c r="B417" i="16" s="1"/>
  <c r="C243" i="16"/>
  <c r="C73" i="16"/>
  <c r="C323" i="16"/>
  <c r="C257" i="16"/>
  <c r="C306" i="16"/>
  <c r="B375" i="16"/>
  <c r="C308" i="16"/>
  <c r="C128" i="16"/>
  <c r="C252" i="16"/>
  <c r="M41" i="15"/>
  <c r="B519" i="15"/>
  <c r="B290" i="16"/>
  <c r="C69" i="16"/>
  <c r="C7" i="16"/>
  <c r="B378" i="16"/>
  <c r="B287" i="16"/>
  <c r="C6" i="16"/>
  <c r="C10" i="16"/>
  <c r="C14" i="16"/>
  <c r="C15" i="16"/>
  <c r="B17" i="16"/>
  <c r="B416" i="16" s="1"/>
  <c r="B362" i="15"/>
  <c r="B361" i="15"/>
  <c r="B149" i="15"/>
  <c r="C423" i="15"/>
  <c r="C339" i="16" s="1"/>
  <c r="C408" i="15"/>
  <c r="C324" i="16" s="1"/>
  <c r="C422" i="15"/>
  <c r="C338" i="16" s="1"/>
  <c r="C344" i="15"/>
  <c r="C358" i="15" s="1"/>
  <c r="D27" i="15"/>
  <c r="D40" i="15" s="1"/>
  <c r="D382" i="15"/>
  <c r="D395" i="15" s="1"/>
  <c r="D409" i="15" s="1"/>
  <c r="D380" i="15"/>
  <c r="D393" i="15" s="1"/>
  <c r="D310" i="15"/>
  <c r="D323" i="15" s="1"/>
  <c r="E34" i="10"/>
  <c r="D91" i="15"/>
  <c r="D104" i="15" s="1"/>
  <c r="D26" i="15"/>
  <c r="D39" i="15" s="1"/>
  <c r="D309" i="15"/>
  <c r="D322" i="15" s="1"/>
  <c r="D18" i="15"/>
  <c r="D31" i="15" s="1"/>
  <c r="E36" i="13"/>
  <c r="E49" i="13" s="1"/>
  <c r="D377" i="15"/>
  <c r="D390" i="15" s="1"/>
  <c r="D376" i="15"/>
  <c r="D389" i="15" s="1"/>
  <c r="C118" i="15"/>
  <c r="C82" i="16" s="1"/>
  <c r="C133" i="15"/>
  <c r="C97" i="16" s="1"/>
  <c r="C45" i="15"/>
  <c r="C21" i="16" s="1"/>
  <c r="C404" i="15"/>
  <c r="C419" i="15"/>
  <c r="C406" i="15"/>
  <c r="C322" i="16" s="1"/>
  <c r="C421" i="15"/>
  <c r="C403" i="15"/>
  <c r="C418" i="15"/>
  <c r="C409" i="15"/>
  <c r="C424" i="15"/>
  <c r="C399" i="15"/>
  <c r="C414" i="15"/>
  <c r="C330" i="16" s="1"/>
  <c r="C400" i="15"/>
  <c r="C415" i="15"/>
  <c r="C91" i="12"/>
  <c r="E41" i="13"/>
  <c r="E54" i="13" s="1"/>
  <c r="E31" i="13"/>
  <c r="E44" i="13" s="1"/>
  <c r="D394" i="15"/>
  <c r="E38" i="13"/>
  <c r="E51" i="13" s="1"/>
  <c r="E32" i="13"/>
  <c r="E45" i="13" s="1"/>
  <c r="C332" i="15"/>
  <c r="C260" i="16" s="1"/>
  <c r="C347" i="15"/>
  <c r="C275" i="16" s="1"/>
  <c r="E39" i="12"/>
  <c r="E52" i="12" s="1"/>
  <c r="E41" i="12"/>
  <c r="E54" i="12" s="1"/>
  <c r="D324" i="15"/>
  <c r="E31" i="12"/>
  <c r="E44" i="12" s="1"/>
  <c r="D318" i="15"/>
  <c r="B219" i="15"/>
  <c r="B171" i="16" s="1"/>
  <c r="C88" i="11"/>
  <c r="D244" i="15"/>
  <c r="E40" i="11"/>
  <c r="E53" i="11" s="1"/>
  <c r="C190" i="15"/>
  <c r="C219" i="15" s="1"/>
  <c r="B145" i="15"/>
  <c r="B243" i="15" s="1"/>
  <c r="B505" i="15" s="1"/>
  <c r="E39" i="6"/>
  <c r="C124" i="15"/>
  <c r="C139" i="15"/>
  <c r="C88" i="9"/>
  <c r="B148" i="15"/>
  <c r="B112" i="16" s="1"/>
  <c r="C115" i="15"/>
  <c r="C130" i="15"/>
  <c r="D111" i="15"/>
  <c r="C247" i="15"/>
  <c r="C509" i="15" s="1"/>
  <c r="B247" i="15"/>
  <c r="C244" i="15"/>
  <c r="C184" i="16" s="1"/>
  <c r="B244" i="15"/>
  <c r="B248" i="15"/>
  <c r="B510" i="15" s="1"/>
  <c r="E32" i="9"/>
  <c r="E45" i="9" s="1"/>
  <c r="C125" i="15"/>
  <c r="C89" i="16" s="1"/>
  <c r="C140" i="15"/>
  <c r="C104" i="16" s="1"/>
  <c r="C123" i="15"/>
  <c r="C87" i="16" s="1"/>
  <c r="C138" i="15"/>
  <c r="C102" i="16" s="1"/>
  <c r="C60" i="15"/>
  <c r="C36" i="16" s="1"/>
  <c r="C119" i="15"/>
  <c r="C148" i="15" s="1"/>
  <c r="E35" i="10"/>
  <c r="C63" i="15"/>
  <c r="C48" i="15"/>
  <c r="C24" i="16" s="1"/>
  <c r="C52" i="15"/>
  <c r="C28" i="16" s="1"/>
  <c r="C67" i="15"/>
  <c r="C43" i="16" s="1"/>
  <c r="C53" i="15"/>
  <c r="C29" i="16" s="1"/>
  <c r="C68" i="15"/>
  <c r="C44" i="15"/>
  <c r="C20" i="16" s="1"/>
  <c r="C59" i="15"/>
  <c r="C35" i="16" s="1"/>
  <c r="C54" i="15"/>
  <c r="C30" i="16" s="1"/>
  <c r="C69" i="15"/>
  <c r="C45" i="16" s="1"/>
  <c r="B70" i="15"/>
  <c r="B535" i="15" s="1"/>
  <c r="C97" i="9"/>
  <c r="B55" i="15"/>
  <c r="B77" i="15"/>
  <c r="B53" i="16" s="1"/>
  <c r="B81" i="15"/>
  <c r="B57" i="16" s="1"/>
  <c r="B82" i="15"/>
  <c r="B58" i="16" s="1"/>
  <c r="B83" i="15"/>
  <c r="B59" i="16" s="1"/>
  <c r="B74" i="15"/>
  <c r="B50" i="16" s="1"/>
  <c r="E40" i="9"/>
  <c r="E53" i="9" s="1"/>
  <c r="E41" i="9"/>
  <c r="E54" i="9" s="1"/>
  <c r="E31" i="6"/>
  <c r="E41" i="11"/>
  <c r="C87" i="9"/>
  <c r="C83" i="8"/>
  <c r="E39" i="9"/>
  <c r="D38" i="15"/>
  <c r="C95" i="9"/>
  <c r="E39" i="10"/>
  <c r="C95" i="10"/>
  <c r="E34" i="6"/>
  <c r="C90" i="10"/>
  <c r="E32" i="12"/>
  <c r="B16" i="8"/>
  <c r="B4" i="8"/>
  <c r="D68" i="16"/>
  <c r="C87" i="11"/>
  <c r="E32" i="11"/>
  <c r="C91" i="11"/>
  <c r="B84" i="8"/>
  <c r="E35" i="9"/>
  <c r="C95" i="12"/>
  <c r="C95" i="13"/>
  <c r="C96" i="12"/>
  <c r="E35" i="12"/>
  <c r="E31" i="9"/>
  <c r="C77" i="8"/>
  <c r="C73" i="8"/>
  <c r="E40" i="10"/>
  <c r="C81" i="8"/>
  <c r="C82" i="8"/>
  <c r="E35" i="13"/>
  <c r="E48" i="13" s="1"/>
  <c r="E38" i="11"/>
  <c r="E39" i="13"/>
  <c r="E31" i="11"/>
  <c r="C74" i="8"/>
  <c r="E41" i="10"/>
  <c r="E35" i="11"/>
  <c r="E40" i="12"/>
  <c r="C87" i="12"/>
  <c r="E31" i="10"/>
  <c r="F36" i="13"/>
  <c r="F49" i="13" s="1"/>
  <c r="C88" i="12"/>
  <c r="C96" i="13"/>
  <c r="B66" i="8"/>
  <c r="E40" i="13"/>
  <c r="E39" i="11"/>
  <c r="E41" i="6"/>
  <c r="C96" i="6"/>
  <c r="E35" i="6"/>
  <c r="E40" i="6"/>
  <c r="G6" i="6"/>
  <c r="C93" i="8" a="1"/>
  <c r="C89" i="8" a="1"/>
  <c r="C99" i="8" a="1"/>
  <c r="C97" i="8" a="1"/>
  <c r="B67" i="8" l="1"/>
  <c r="B101" i="13"/>
  <c r="B484" i="16"/>
  <c r="C97" i="13"/>
  <c r="C88" i="13"/>
  <c r="B59" i="8"/>
  <c r="C325" i="16"/>
  <c r="C92" i="13"/>
  <c r="C96" i="9"/>
  <c r="C316" i="16"/>
  <c r="C91" i="13"/>
  <c r="B105" i="16"/>
  <c r="B65" i="8"/>
  <c r="B64" i="8"/>
  <c r="C94" i="11"/>
  <c r="B90" i="16"/>
  <c r="B425" i="16" s="1"/>
  <c r="C94" i="13"/>
  <c r="C315" i="16"/>
  <c r="B341" i="16"/>
  <c r="B342" i="16" s="1"/>
  <c r="C97" i="11"/>
  <c r="C95" i="11"/>
  <c r="C44" i="16"/>
  <c r="C36" i="8"/>
  <c r="B58" i="8"/>
  <c r="B62" i="8"/>
  <c r="B101" i="10"/>
  <c r="B289" i="16"/>
  <c r="C335" i="16"/>
  <c r="C87" i="13"/>
  <c r="C93" i="8"/>
  <c r="B98" i="10"/>
  <c r="C340" i="16"/>
  <c r="B98" i="13"/>
  <c r="C97" i="12"/>
  <c r="C53" i="8"/>
  <c r="C95" i="6"/>
  <c r="C47" i="8"/>
  <c r="B101" i="12"/>
  <c r="B60" i="8"/>
  <c r="C37" i="8"/>
  <c r="C32" i="8"/>
  <c r="C331" i="16"/>
  <c r="B61" i="8"/>
  <c r="B326" i="16"/>
  <c r="B327" i="16" s="1"/>
  <c r="C91" i="6"/>
  <c r="C171" i="16" s="1"/>
  <c r="B98" i="9"/>
  <c r="C91" i="9"/>
  <c r="B101" i="9"/>
  <c r="C319" i="16"/>
  <c r="C90" i="6"/>
  <c r="B19" i="8"/>
  <c r="C51" i="8"/>
  <c r="C320" i="16"/>
  <c r="C38" i="8"/>
  <c r="C43" i="8"/>
  <c r="B98" i="6"/>
  <c r="C28" i="8"/>
  <c r="B98" i="12"/>
  <c r="C334" i="16"/>
  <c r="C91" i="10"/>
  <c r="C112" i="16" s="1"/>
  <c r="B291" i="16"/>
  <c r="B485" i="16" s="1"/>
  <c r="E17" i="15"/>
  <c r="E44" i="9"/>
  <c r="C39" i="16"/>
  <c r="D73" i="9"/>
  <c r="D58" i="9"/>
  <c r="E74" i="9"/>
  <c r="E59" i="9"/>
  <c r="B39" i="8"/>
  <c r="C52" i="8"/>
  <c r="D62" i="9"/>
  <c r="D77" i="9"/>
  <c r="D91" i="9" s="1"/>
  <c r="E68" i="9"/>
  <c r="E83" i="9"/>
  <c r="E25" i="15"/>
  <c r="E52" i="9"/>
  <c r="E82" i="9"/>
  <c r="E67" i="9"/>
  <c r="D66" i="9"/>
  <c r="D81" i="9"/>
  <c r="D95" i="9" s="1"/>
  <c r="E21" i="15"/>
  <c r="E48" i="9"/>
  <c r="E92" i="15"/>
  <c r="E48" i="10"/>
  <c r="E88" i="15"/>
  <c r="E101" i="15" s="1"/>
  <c r="E44" i="10"/>
  <c r="E97" i="15"/>
  <c r="E53" i="10"/>
  <c r="C103" i="16"/>
  <c r="C87" i="10"/>
  <c r="E96" i="15"/>
  <c r="E52" i="10"/>
  <c r="C88" i="16"/>
  <c r="D67" i="10"/>
  <c r="D82" i="10"/>
  <c r="C96" i="10"/>
  <c r="C94" i="16"/>
  <c r="D73" i="10"/>
  <c r="D58" i="10"/>
  <c r="D77" i="10"/>
  <c r="D62" i="10"/>
  <c r="C79" i="16"/>
  <c r="B57" i="8"/>
  <c r="D83" i="10"/>
  <c r="D68" i="10"/>
  <c r="D81" i="10"/>
  <c r="D66" i="10"/>
  <c r="E98" i="15"/>
  <c r="E54" i="10"/>
  <c r="E91" i="15"/>
  <c r="E104" i="15" s="1"/>
  <c r="E133" i="15" s="1"/>
  <c r="E47" i="10"/>
  <c r="E168" i="15"/>
  <c r="E181" i="15" s="1"/>
  <c r="E53" i="6"/>
  <c r="D67" i="6"/>
  <c r="D82" i="6"/>
  <c r="D81" i="6"/>
  <c r="D66" i="6"/>
  <c r="B101" i="6"/>
  <c r="E159" i="15"/>
  <c r="E44" i="6"/>
  <c r="E163" i="15"/>
  <c r="E48" i="6"/>
  <c r="D62" i="6"/>
  <c r="D77" i="6"/>
  <c r="C97" i="6"/>
  <c r="B54" i="8"/>
  <c r="B63" i="8"/>
  <c r="D76" i="6"/>
  <c r="D61" i="6"/>
  <c r="E162" i="15"/>
  <c r="E47" i="6"/>
  <c r="E169" i="15"/>
  <c r="E54" i="6"/>
  <c r="E167" i="15"/>
  <c r="E52" i="6"/>
  <c r="D68" i="6"/>
  <c r="D83" i="6"/>
  <c r="D73" i="6"/>
  <c r="D58" i="6"/>
  <c r="C89" i="8"/>
  <c r="C97" i="8"/>
  <c r="C99" i="8"/>
  <c r="E82" i="11"/>
  <c r="E67" i="11"/>
  <c r="B101" i="11"/>
  <c r="B393" i="16"/>
  <c r="E240" i="15"/>
  <c r="E54" i="11"/>
  <c r="D62" i="11"/>
  <c r="D77" i="11"/>
  <c r="D58" i="11"/>
  <c r="D73" i="11"/>
  <c r="D87" i="11" s="1"/>
  <c r="E237" i="15"/>
  <c r="E51" i="11"/>
  <c r="E234" i="15"/>
  <c r="E247" i="15" s="1"/>
  <c r="E261" i="15" s="1"/>
  <c r="E48" i="11"/>
  <c r="E230" i="15"/>
  <c r="E243" i="15" s="1"/>
  <c r="E44" i="11"/>
  <c r="D74" i="11"/>
  <c r="D59" i="11"/>
  <c r="D88" i="11" s="1"/>
  <c r="D65" i="11"/>
  <c r="D80" i="11"/>
  <c r="E231" i="15"/>
  <c r="E244" i="15" s="1"/>
  <c r="E258" i="15" s="1"/>
  <c r="E45" i="11"/>
  <c r="B481" i="16"/>
  <c r="D81" i="11"/>
  <c r="D66" i="11"/>
  <c r="B98" i="11"/>
  <c r="E238" i="15"/>
  <c r="E52" i="11"/>
  <c r="D82" i="11"/>
  <c r="D67" i="11"/>
  <c r="D83" i="11"/>
  <c r="D68" i="11"/>
  <c r="E310" i="15"/>
  <c r="E53" i="12"/>
  <c r="E302" i="15"/>
  <c r="E45" i="12"/>
  <c r="E73" i="12"/>
  <c r="E58" i="12"/>
  <c r="D68" i="12"/>
  <c r="D83" i="12"/>
  <c r="E68" i="12"/>
  <c r="E83" i="12"/>
  <c r="D77" i="12"/>
  <c r="D62" i="12"/>
  <c r="E305" i="15"/>
  <c r="E48" i="12"/>
  <c r="E81" i="12"/>
  <c r="E66" i="12"/>
  <c r="D59" i="12"/>
  <c r="D74" i="12"/>
  <c r="D73" i="12"/>
  <c r="D58" i="12"/>
  <c r="D82" i="13"/>
  <c r="D67" i="13"/>
  <c r="C337" i="16"/>
  <c r="E73" i="13"/>
  <c r="E58" i="13"/>
  <c r="D58" i="13"/>
  <c r="D73" i="13"/>
  <c r="E83" i="13"/>
  <c r="E68" i="13"/>
  <c r="E78" i="13"/>
  <c r="E63" i="13"/>
  <c r="E380" i="15"/>
  <c r="E52" i="13"/>
  <c r="F63" i="13"/>
  <c r="F78" i="13"/>
  <c r="D74" i="13"/>
  <c r="D59" i="13"/>
  <c r="D65" i="13"/>
  <c r="D80" i="13"/>
  <c r="E59" i="13"/>
  <c r="E74" i="13"/>
  <c r="E381" i="15"/>
  <c r="E394" i="15" s="1"/>
  <c r="E53" i="13"/>
  <c r="E77" i="13"/>
  <c r="E62" i="13"/>
  <c r="E65" i="13"/>
  <c r="E80" i="13"/>
  <c r="D251" i="16"/>
  <c r="D305" i="16"/>
  <c r="D128" i="16"/>
  <c r="D187" i="16"/>
  <c r="D302" i="16"/>
  <c r="D75" i="16"/>
  <c r="D252" i="16"/>
  <c r="D184" i="16"/>
  <c r="F34" i="10"/>
  <c r="D69" i="16"/>
  <c r="C286" i="16"/>
  <c r="D250" i="16"/>
  <c r="D65" i="16"/>
  <c r="D325" i="16"/>
  <c r="D309" i="16"/>
  <c r="D306" i="16"/>
  <c r="D243" i="16"/>
  <c r="D246" i="16"/>
  <c r="D311" i="16"/>
  <c r="D308" i="16"/>
  <c r="B404" i="16"/>
  <c r="B109" i="16"/>
  <c r="D301" i="16"/>
  <c r="D73" i="16"/>
  <c r="D242" i="16"/>
  <c r="B509" i="15"/>
  <c r="B187" i="16"/>
  <c r="B363" i="16" s="1"/>
  <c r="D310" i="16"/>
  <c r="B429" i="16"/>
  <c r="B506" i="15"/>
  <c r="B184" i="16"/>
  <c r="B360" i="16" s="1"/>
  <c r="B183" i="16"/>
  <c r="B433" i="16"/>
  <c r="B106" i="16"/>
  <c r="C272" i="16"/>
  <c r="D6" i="16"/>
  <c r="D74" i="16"/>
  <c r="D14" i="16"/>
  <c r="C83" i="16"/>
  <c r="C187" i="16"/>
  <c r="C363" i="16" s="1"/>
  <c r="C142" i="16"/>
  <c r="D7" i="16"/>
  <c r="D16" i="16"/>
  <c r="D10" i="16"/>
  <c r="B424" i="16"/>
  <c r="B32" i="16"/>
  <c r="B56" i="15"/>
  <c r="B527" i="15"/>
  <c r="D53" i="15"/>
  <c r="D29" i="16" s="1"/>
  <c r="D15" i="16"/>
  <c r="B71" i="15"/>
  <c r="B46" i="16"/>
  <c r="D407" i="15"/>
  <c r="D323" i="16" s="1"/>
  <c r="D422" i="15"/>
  <c r="D338" i="16" s="1"/>
  <c r="D69" i="15"/>
  <c r="D45" i="16" s="1"/>
  <c r="D54" i="15"/>
  <c r="D30" i="16" s="1"/>
  <c r="D68" i="15"/>
  <c r="D44" i="16" s="1"/>
  <c r="D45" i="15"/>
  <c r="D21" i="16" s="1"/>
  <c r="D60" i="15"/>
  <c r="D36" i="16" s="1"/>
  <c r="D403" i="15"/>
  <c r="D319" i="16" s="1"/>
  <c r="D418" i="15"/>
  <c r="D334" i="16" s="1"/>
  <c r="E26" i="15"/>
  <c r="E39" i="15" s="1"/>
  <c r="E301" i="15"/>
  <c r="E314" i="15" s="1"/>
  <c r="F40" i="11"/>
  <c r="E239" i="15"/>
  <c r="E372" i="15"/>
  <c r="E385" i="15" s="1"/>
  <c r="D424" i="15"/>
  <c r="D340" i="16" s="1"/>
  <c r="E18" i="15"/>
  <c r="E31" i="15" s="1"/>
  <c r="E27" i="15"/>
  <c r="E40" i="15" s="1"/>
  <c r="E311" i="15"/>
  <c r="E324" i="15" s="1"/>
  <c r="F32" i="13"/>
  <c r="E373" i="15"/>
  <c r="F377" i="15"/>
  <c r="F390" i="15" s="1"/>
  <c r="D118" i="15"/>
  <c r="D82" i="16" s="1"/>
  <c r="D133" i="15"/>
  <c r="D97" i="16" s="1"/>
  <c r="E376" i="15"/>
  <c r="E389" i="15" s="1"/>
  <c r="E309" i="15"/>
  <c r="E322" i="15" s="1"/>
  <c r="E379" i="15"/>
  <c r="E392" i="15" s="1"/>
  <c r="E377" i="15"/>
  <c r="E390" i="15" s="1"/>
  <c r="E118" i="15"/>
  <c r="E382" i="15"/>
  <c r="E395" i="15" s="1"/>
  <c r="E409" i="15" s="1"/>
  <c r="D509" i="15"/>
  <c r="C74" i="15"/>
  <c r="C50" i="16" s="1"/>
  <c r="B23" i="8"/>
  <c r="B20" i="8"/>
  <c r="B22" i="8"/>
  <c r="B21" i="8"/>
  <c r="F41" i="13"/>
  <c r="F54" i="13" s="1"/>
  <c r="D92" i="13"/>
  <c r="F31" i="13"/>
  <c r="F44" i="13" s="1"/>
  <c r="D400" i="15"/>
  <c r="D415" i="15"/>
  <c r="E311" i="16"/>
  <c r="D406" i="15"/>
  <c r="D421" i="15"/>
  <c r="D408" i="15"/>
  <c r="D324" i="16" s="1"/>
  <c r="D423" i="15"/>
  <c r="D404" i="15"/>
  <c r="D320" i="16" s="1"/>
  <c r="D419" i="15"/>
  <c r="D335" i="16" s="1"/>
  <c r="D399" i="15"/>
  <c r="D414" i="15"/>
  <c r="D97" i="13"/>
  <c r="F38" i="13"/>
  <c r="F51" i="13" s="1"/>
  <c r="E393" i="15"/>
  <c r="F39" i="12"/>
  <c r="F52" i="12" s="1"/>
  <c r="F31" i="12"/>
  <c r="F44" i="12" s="1"/>
  <c r="D329" i="15"/>
  <c r="D344" i="15"/>
  <c r="D95" i="12"/>
  <c r="F41" i="12"/>
  <c r="F54" i="12" s="1"/>
  <c r="D332" i="15"/>
  <c r="D347" i="15"/>
  <c r="D275" i="16" s="1"/>
  <c r="C361" i="15"/>
  <c r="C289" i="16" s="1"/>
  <c r="E318" i="15"/>
  <c r="E315" i="15"/>
  <c r="E323" i="15"/>
  <c r="F39" i="6"/>
  <c r="F52" i="6" s="1"/>
  <c r="D88" i="9"/>
  <c r="F32" i="9"/>
  <c r="F45" i="9" s="1"/>
  <c r="D205" i="15"/>
  <c r="D157" i="16" s="1"/>
  <c r="D190" i="15"/>
  <c r="C243" i="15"/>
  <c r="C183" i="16" s="1"/>
  <c r="E175" i="15"/>
  <c r="E176" i="15"/>
  <c r="D243" i="15"/>
  <c r="D183" i="16" s="1"/>
  <c r="D125" i="15"/>
  <c r="D140" i="15"/>
  <c r="D115" i="15"/>
  <c r="D130" i="15"/>
  <c r="E105" i="15"/>
  <c r="E119" i="15" s="1"/>
  <c r="E110" i="15"/>
  <c r="E111" i="15"/>
  <c r="E125" i="15" s="1"/>
  <c r="B261" i="15"/>
  <c r="B276" i="15"/>
  <c r="B258" i="15"/>
  <c r="B273" i="15"/>
  <c r="D258" i="15"/>
  <c r="D273" i="15"/>
  <c r="D213" i="16" s="1"/>
  <c r="C258" i="15"/>
  <c r="C198" i="16" s="1"/>
  <c r="C273" i="15"/>
  <c r="C213" i="16" s="1"/>
  <c r="C261" i="15"/>
  <c r="C276" i="15"/>
  <c r="D261" i="15"/>
  <c r="D276" i="15"/>
  <c r="B262" i="15"/>
  <c r="B465" i="15" s="1"/>
  <c r="B277" i="15"/>
  <c r="B479" i="15" s="1"/>
  <c r="D181" i="15"/>
  <c r="D133" i="16" s="1"/>
  <c r="B181" i="15"/>
  <c r="B133" i="16" s="1"/>
  <c r="E180" i="15"/>
  <c r="D180" i="15"/>
  <c r="D132" i="16" s="1"/>
  <c r="C180" i="15"/>
  <c r="C132" i="16" s="1"/>
  <c r="B180" i="15"/>
  <c r="B132" i="16" s="1"/>
  <c r="B179" i="15"/>
  <c r="D175" i="15"/>
  <c r="D127" i="16" s="1"/>
  <c r="C175" i="15"/>
  <c r="C127" i="16" s="1"/>
  <c r="C181" i="15"/>
  <c r="C133" i="16" s="1"/>
  <c r="F31" i="6"/>
  <c r="F35" i="10"/>
  <c r="D123" i="15"/>
  <c r="D138" i="15"/>
  <c r="D119" i="15"/>
  <c r="D134" i="15"/>
  <c r="D98" i="16" s="1"/>
  <c r="D124" i="15"/>
  <c r="D88" i="16" s="1"/>
  <c r="D139" i="15"/>
  <c r="D103" i="16" s="1"/>
  <c r="E109" i="15"/>
  <c r="C82" i="15"/>
  <c r="C58" i="16" s="1"/>
  <c r="C83" i="15"/>
  <c r="C59" i="16" s="1"/>
  <c r="C81" i="15"/>
  <c r="C57" i="16" s="1"/>
  <c r="C77" i="15"/>
  <c r="C53" i="16" s="1"/>
  <c r="C73" i="15"/>
  <c r="C49" i="16" s="1"/>
  <c r="D63" i="15"/>
  <c r="D39" i="16" s="1"/>
  <c r="D48" i="15"/>
  <c r="D24" i="16" s="1"/>
  <c r="D52" i="15"/>
  <c r="D28" i="16" s="1"/>
  <c r="D67" i="15"/>
  <c r="D44" i="15"/>
  <c r="D59" i="15"/>
  <c r="D35" i="16" s="1"/>
  <c r="D97" i="9"/>
  <c r="F40" i="9"/>
  <c r="F53" i="9" s="1"/>
  <c r="F41" i="11"/>
  <c r="F41" i="9"/>
  <c r="F54" i="9" s="1"/>
  <c r="D74" i="8"/>
  <c r="D96" i="9"/>
  <c r="E38" i="15"/>
  <c r="D83" i="8"/>
  <c r="F39" i="9"/>
  <c r="E30" i="15"/>
  <c r="E34" i="15"/>
  <c r="F39" i="10"/>
  <c r="F34" i="6"/>
  <c r="F35" i="9"/>
  <c r="F32" i="12"/>
  <c r="B24" i="8"/>
  <c r="F32" i="11"/>
  <c r="D90" i="10"/>
  <c r="D82" i="8"/>
  <c r="C65" i="8"/>
  <c r="D91" i="10"/>
  <c r="F35" i="12"/>
  <c r="F35" i="11"/>
  <c r="D96" i="12"/>
  <c r="F40" i="12"/>
  <c r="F39" i="13"/>
  <c r="F31" i="9"/>
  <c r="D77" i="8"/>
  <c r="F35" i="13"/>
  <c r="F40" i="10"/>
  <c r="D91" i="13"/>
  <c r="F31" i="10"/>
  <c r="F41" i="10"/>
  <c r="D81" i="8"/>
  <c r="F38" i="11"/>
  <c r="F31" i="11"/>
  <c r="F44" i="11" s="1"/>
  <c r="D73" i="8"/>
  <c r="C57" i="8"/>
  <c r="G36" i="13"/>
  <c r="D95" i="13"/>
  <c r="F41" i="6"/>
  <c r="B100" i="8"/>
  <c r="F40" i="13"/>
  <c r="F39" i="11"/>
  <c r="F35" i="6"/>
  <c r="F40" i="6"/>
  <c r="H6" i="6"/>
  <c r="D11" i="1" a="1"/>
  <c r="B11" i="1" a="1"/>
  <c r="D89" i="8" a="1"/>
  <c r="D98" i="8" a="1"/>
  <c r="D93" i="8" a="1"/>
  <c r="D97" i="8" a="1"/>
  <c r="E98" i="8" a="1"/>
  <c r="D99" i="8" a="1"/>
  <c r="D87" i="13" l="1"/>
  <c r="D330" i="16"/>
  <c r="D87" i="12"/>
  <c r="D91" i="12"/>
  <c r="D87" i="9"/>
  <c r="D97" i="6"/>
  <c r="D90" i="6"/>
  <c r="C66" i="8"/>
  <c r="D96" i="13"/>
  <c r="C61" i="8"/>
  <c r="D322" i="16"/>
  <c r="D94" i="13"/>
  <c r="B91" i="16"/>
  <c r="D95" i="11"/>
  <c r="D272" i="16"/>
  <c r="D47" i="8"/>
  <c r="D198" i="16"/>
  <c r="D315" i="16"/>
  <c r="D97" i="12"/>
  <c r="D53" i="8"/>
  <c r="D91" i="11"/>
  <c r="D104" i="16"/>
  <c r="C67" i="8"/>
  <c r="D43" i="16"/>
  <c r="D97" i="10"/>
  <c r="D95" i="10"/>
  <c r="B68" i="8"/>
  <c r="B104" i="8" s="1"/>
  <c r="D36" i="8"/>
  <c r="D87" i="16"/>
  <c r="D79" i="16"/>
  <c r="D38" i="8"/>
  <c r="D95" i="6"/>
  <c r="D97" i="11"/>
  <c r="D37" i="8"/>
  <c r="D83" i="16"/>
  <c r="D337" i="16"/>
  <c r="D88" i="12"/>
  <c r="E68" i="16"/>
  <c r="D20" i="16"/>
  <c r="D102" i="16"/>
  <c r="E92" i="13"/>
  <c r="D260" i="16"/>
  <c r="D87" i="6"/>
  <c r="D96" i="6"/>
  <c r="D201" i="16"/>
  <c r="D454" i="16" s="1"/>
  <c r="D257" i="16"/>
  <c r="D88" i="13"/>
  <c r="D94" i="11"/>
  <c r="D51" i="8"/>
  <c r="D43" i="8"/>
  <c r="D316" i="16"/>
  <c r="D28" i="8"/>
  <c r="D339" i="16"/>
  <c r="D96" i="10"/>
  <c r="E66" i="9"/>
  <c r="E81" i="9"/>
  <c r="E62" i="9"/>
  <c r="E77" i="9"/>
  <c r="F17" i="15"/>
  <c r="F44" i="9"/>
  <c r="F83" i="9"/>
  <c r="F68" i="9"/>
  <c r="F74" i="9"/>
  <c r="F59" i="9"/>
  <c r="F82" i="9"/>
  <c r="F67" i="9"/>
  <c r="F21" i="15"/>
  <c r="F48" i="9"/>
  <c r="F25" i="15"/>
  <c r="F38" i="15" s="1"/>
  <c r="F52" i="9"/>
  <c r="E58" i="9"/>
  <c r="E73" i="9"/>
  <c r="F98" i="15"/>
  <c r="F54" i="10"/>
  <c r="D87" i="10"/>
  <c r="E67" i="10"/>
  <c r="E82" i="10"/>
  <c r="E96" i="10" s="1"/>
  <c r="F88" i="15"/>
  <c r="F101" i="15" s="1"/>
  <c r="F44" i="10"/>
  <c r="E61" i="10"/>
  <c r="E82" i="16" s="1"/>
  <c r="E76" i="10"/>
  <c r="E58" i="10"/>
  <c r="E73" i="10"/>
  <c r="F91" i="15"/>
  <c r="F104" i="15" s="1"/>
  <c r="F47" i="10"/>
  <c r="F68" i="16" s="1"/>
  <c r="E68" i="10"/>
  <c r="E89" i="16" s="1"/>
  <c r="E83" i="10"/>
  <c r="D94" i="16"/>
  <c r="F96" i="15"/>
  <c r="F52" i="10"/>
  <c r="F92" i="15"/>
  <c r="F48" i="10"/>
  <c r="E81" i="10"/>
  <c r="E66" i="10"/>
  <c r="E77" i="10"/>
  <c r="E62" i="10"/>
  <c r="E83" i="16" s="1"/>
  <c r="F97" i="15"/>
  <c r="F53" i="10"/>
  <c r="D89" i="16"/>
  <c r="D32" i="8"/>
  <c r="F66" i="6"/>
  <c r="F81" i="6"/>
  <c r="E66" i="6"/>
  <c r="E81" i="6"/>
  <c r="F168" i="15"/>
  <c r="F181" i="15" s="1"/>
  <c r="F53" i="6"/>
  <c r="F169" i="15"/>
  <c r="F54" i="6"/>
  <c r="D91" i="6"/>
  <c r="D142" i="16"/>
  <c r="E83" i="6"/>
  <c r="E68" i="6"/>
  <c r="E97" i="6" s="1"/>
  <c r="F163" i="15"/>
  <c r="F48" i="6"/>
  <c r="F159" i="15"/>
  <c r="F44" i="6"/>
  <c r="E76" i="6"/>
  <c r="E61" i="6"/>
  <c r="E62" i="6"/>
  <c r="E77" i="6"/>
  <c r="E82" i="6"/>
  <c r="E67" i="6"/>
  <c r="F162" i="15"/>
  <c r="F47" i="6"/>
  <c r="E58" i="6"/>
  <c r="E73" i="6"/>
  <c r="D98" i="8"/>
  <c r="D89" i="8"/>
  <c r="D97" i="8"/>
  <c r="D93" i="8"/>
  <c r="D99" i="8"/>
  <c r="F239" i="15"/>
  <c r="F53" i="11"/>
  <c r="E66" i="11"/>
  <c r="E81" i="11"/>
  <c r="E65" i="11"/>
  <c r="E80" i="11"/>
  <c r="F237" i="15"/>
  <c r="F51" i="11"/>
  <c r="F73" i="11"/>
  <c r="F58" i="11"/>
  <c r="D52" i="8"/>
  <c r="D66" i="8" s="1"/>
  <c r="F231" i="15"/>
  <c r="F244" i="15" s="1"/>
  <c r="F45" i="11"/>
  <c r="E73" i="11"/>
  <c r="E58" i="11"/>
  <c r="D216" i="16"/>
  <c r="D469" i="16" s="1"/>
  <c r="F238" i="15"/>
  <c r="F52" i="11"/>
  <c r="D96" i="11"/>
  <c r="F234" i="15"/>
  <c r="F247" i="15" s="1"/>
  <c r="F48" i="11"/>
  <c r="F240" i="15"/>
  <c r="F54" i="11"/>
  <c r="E74" i="11"/>
  <c r="E59" i="11"/>
  <c r="E198" i="16" s="1"/>
  <c r="E62" i="11"/>
  <c r="E201" i="16" s="1"/>
  <c r="E77" i="11"/>
  <c r="E83" i="11"/>
  <c r="E68" i="11"/>
  <c r="E97" i="11" s="1"/>
  <c r="F310" i="15"/>
  <c r="F53" i="12"/>
  <c r="F81" i="12"/>
  <c r="F66" i="12"/>
  <c r="F302" i="15"/>
  <c r="F315" i="15" s="1"/>
  <c r="F45" i="12"/>
  <c r="F68" i="12"/>
  <c r="F83" i="12"/>
  <c r="E77" i="12"/>
  <c r="E62" i="12"/>
  <c r="F305" i="15"/>
  <c r="F48" i="12"/>
  <c r="E59" i="12"/>
  <c r="E74" i="12"/>
  <c r="E67" i="12"/>
  <c r="E82" i="12"/>
  <c r="F73" i="12"/>
  <c r="F58" i="12"/>
  <c r="F376" i="15"/>
  <c r="F389" i="15" s="1"/>
  <c r="F418" i="15" s="1"/>
  <c r="F48" i="13"/>
  <c r="F380" i="15"/>
  <c r="F393" i="15" s="1"/>
  <c r="F52" i="13"/>
  <c r="E67" i="13"/>
  <c r="E82" i="13"/>
  <c r="E96" i="13" s="1"/>
  <c r="D331" i="16"/>
  <c r="F373" i="15"/>
  <c r="F45" i="13"/>
  <c r="G377" i="15"/>
  <c r="G49" i="13"/>
  <c r="E81" i="13"/>
  <c r="E95" i="13" s="1"/>
  <c r="E66" i="13"/>
  <c r="F73" i="13"/>
  <c r="F58" i="13"/>
  <c r="F381" i="15"/>
  <c r="F53" i="13"/>
  <c r="G32" i="13"/>
  <c r="F68" i="13"/>
  <c r="F83" i="13"/>
  <c r="F65" i="13"/>
  <c r="F80" i="13"/>
  <c r="E97" i="16"/>
  <c r="E309" i="16"/>
  <c r="D11" i="1"/>
  <c r="B11" i="1"/>
  <c r="E98" i="8"/>
  <c r="E305" i="16"/>
  <c r="G34" i="10"/>
  <c r="G47" i="10" s="1"/>
  <c r="E133" i="16"/>
  <c r="E128" i="16"/>
  <c r="E69" i="16"/>
  <c r="E243" i="16"/>
  <c r="E310" i="16"/>
  <c r="E65" i="16"/>
  <c r="E250" i="16"/>
  <c r="D363" i="16"/>
  <c r="E127" i="16"/>
  <c r="E14" i="16"/>
  <c r="E252" i="16"/>
  <c r="E184" i="16"/>
  <c r="E308" i="16"/>
  <c r="E301" i="16"/>
  <c r="E325" i="16"/>
  <c r="E73" i="16"/>
  <c r="E246" i="16"/>
  <c r="E75" i="16"/>
  <c r="B213" i="16"/>
  <c r="B198" i="16"/>
  <c r="B478" i="15"/>
  <c r="B216" i="16"/>
  <c r="E6" i="16"/>
  <c r="B464" i="15"/>
  <c r="B201" i="16"/>
  <c r="B359" i="16"/>
  <c r="E251" i="16"/>
  <c r="E16" i="16"/>
  <c r="E7" i="16"/>
  <c r="E306" i="16"/>
  <c r="E183" i="16"/>
  <c r="E10" i="16"/>
  <c r="E132" i="16"/>
  <c r="F306" i="16"/>
  <c r="C478" i="15"/>
  <c r="C216" i="16"/>
  <c r="C469" i="16" s="1"/>
  <c r="C464" i="15"/>
  <c r="C201" i="16"/>
  <c r="C454" i="16" s="1"/>
  <c r="E74" i="16"/>
  <c r="E242" i="16"/>
  <c r="E187" i="16"/>
  <c r="E15" i="16"/>
  <c r="B432" i="16"/>
  <c r="B47" i="16"/>
  <c r="D82" i="15"/>
  <c r="D58" i="16" s="1"/>
  <c r="D83" i="15"/>
  <c r="D59" i="16" s="1"/>
  <c r="E403" i="15"/>
  <c r="E319" i="16" s="1"/>
  <c r="E418" i="15"/>
  <c r="E334" i="16" s="1"/>
  <c r="E87" i="12"/>
  <c r="G40" i="11"/>
  <c r="D74" i="15"/>
  <c r="D50" i="16" s="1"/>
  <c r="E45" i="15"/>
  <c r="E21" i="16" s="1"/>
  <c r="E60" i="15"/>
  <c r="E36" i="16" s="1"/>
  <c r="E97" i="12"/>
  <c r="E424" i="15"/>
  <c r="E340" i="16" s="1"/>
  <c r="E68" i="15"/>
  <c r="E44" i="16" s="1"/>
  <c r="E53" i="15"/>
  <c r="E29" i="16" s="1"/>
  <c r="F404" i="15"/>
  <c r="F320" i="16" s="1"/>
  <c r="F419" i="15"/>
  <c r="F335" i="16" s="1"/>
  <c r="E399" i="15"/>
  <c r="E315" i="16" s="1"/>
  <c r="E414" i="15"/>
  <c r="E330" i="16" s="1"/>
  <c r="E419" i="15"/>
  <c r="E335" i="16" s="1"/>
  <c r="E404" i="15"/>
  <c r="E320" i="16" s="1"/>
  <c r="E69" i="15"/>
  <c r="E45" i="16" s="1"/>
  <c r="E54" i="15"/>
  <c r="E30" i="16" s="1"/>
  <c r="F382" i="15"/>
  <c r="F395" i="15" s="1"/>
  <c r="F230" i="15"/>
  <c r="F243" i="15" s="1"/>
  <c r="F167" i="15"/>
  <c r="F180" i="15" s="1"/>
  <c r="E94" i="13"/>
  <c r="F118" i="15"/>
  <c r="F133" i="15"/>
  <c r="F309" i="15"/>
  <c r="F322" i="15" s="1"/>
  <c r="F27" i="15"/>
  <c r="F40" i="15" s="1"/>
  <c r="F379" i="15"/>
  <c r="F392" i="15" s="1"/>
  <c r="F372" i="15"/>
  <c r="F385" i="15" s="1"/>
  <c r="F399" i="15" s="1"/>
  <c r="F311" i="15"/>
  <c r="F324" i="15" s="1"/>
  <c r="F26" i="15"/>
  <c r="F39" i="15" s="1"/>
  <c r="F18" i="15"/>
  <c r="F31" i="15" s="1"/>
  <c r="F301" i="15"/>
  <c r="F314" i="15" s="1"/>
  <c r="E509" i="15"/>
  <c r="D464" i="15"/>
  <c r="D478" i="15"/>
  <c r="E96" i="11"/>
  <c r="G41" i="13"/>
  <c r="G54" i="13" s="1"/>
  <c r="E88" i="13"/>
  <c r="G31" i="13"/>
  <c r="G44" i="13" s="1"/>
  <c r="E97" i="13"/>
  <c r="E87" i="13"/>
  <c r="G38" i="13"/>
  <c r="G51" i="13" s="1"/>
  <c r="E406" i="15"/>
  <c r="E322" i="16" s="1"/>
  <c r="E421" i="15"/>
  <c r="E337" i="16" s="1"/>
  <c r="E407" i="15"/>
  <c r="E323" i="16" s="1"/>
  <c r="E422" i="15"/>
  <c r="E408" i="15"/>
  <c r="E324" i="16" s="1"/>
  <c r="E423" i="15"/>
  <c r="E386" i="15"/>
  <c r="E302" i="16" s="1"/>
  <c r="F386" i="15"/>
  <c r="F415" i="15" s="1"/>
  <c r="G390" i="15"/>
  <c r="G39" i="12"/>
  <c r="G52" i="12" s="1"/>
  <c r="G31" i="12"/>
  <c r="G44" i="12" s="1"/>
  <c r="E95" i="12"/>
  <c r="D429" i="15"/>
  <c r="D345" i="16" s="1"/>
  <c r="F394" i="15"/>
  <c r="C432" i="15"/>
  <c r="C348" i="16" s="1"/>
  <c r="C429" i="15"/>
  <c r="C345" i="16" s="1"/>
  <c r="D432" i="15"/>
  <c r="D348" i="16" s="1"/>
  <c r="B432" i="15"/>
  <c r="B348" i="16" s="1"/>
  <c r="G41" i="12"/>
  <c r="G54" i="12" s="1"/>
  <c r="B429" i="15"/>
  <c r="B345" i="16" s="1"/>
  <c r="B433" i="15"/>
  <c r="B349" i="16" s="1"/>
  <c r="B407" i="16" s="1"/>
  <c r="C433" i="15"/>
  <c r="C349" i="16" s="1"/>
  <c r="D433" i="15"/>
  <c r="D349" i="16" s="1"/>
  <c r="E332" i="15"/>
  <c r="E260" i="16" s="1"/>
  <c r="E347" i="15"/>
  <c r="E275" i="16" s="1"/>
  <c r="E329" i="15"/>
  <c r="E344" i="15"/>
  <c r="E91" i="12"/>
  <c r="D358" i="15"/>
  <c r="G39" i="6"/>
  <c r="G52" i="6" s="1"/>
  <c r="D361" i="15"/>
  <c r="D289" i="16" s="1"/>
  <c r="F323" i="15"/>
  <c r="F318" i="15"/>
  <c r="E82" i="8"/>
  <c r="E276" i="15"/>
  <c r="E290" i="15" s="1"/>
  <c r="E83" i="8"/>
  <c r="E74" i="8"/>
  <c r="D219" i="15"/>
  <c r="E273" i="15"/>
  <c r="E287" i="15" s="1"/>
  <c r="G32" i="9"/>
  <c r="E190" i="15"/>
  <c r="E142" i="16" s="1"/>
  <c r="E205" i="15"/>
  <c r="F176" i="15"/>
  <c r="F175" i="15"/>
  <c r="E88" i="9"/>
  <c r="G41" i="6"/>
  <c r="G31" i="6"/>
  <c r="E124" i="15"/>
  <c r="E139" i="15"/>
  <c r="F111" i="15"/>
  <c r="E134" i="15"/>
  <c r="E148" i="15" s="1"/>
  <c r="F105" i="15"/>
  <c r="E140" i="15"/>
  <c r="F110" i="15"/>
  <c r="C257" i="15"/>
  <c r="C197" i="16" s="1"/>
  <c r="C272" i="15"/>
  <c r="C212" i="16" s="1"/>
  <c r="D257" i="15"/>
  <c r="D197" i="16" s="1"/>
  <c r="D272" i="15"/>
  <c r="D212" i="16" s="1"/>
  <c r="E257" i="15"/>
  <c r="E197" i="16" s="1"/>
  <c r="E272" i="15"/>
  <c r="B257" i="15"/>
  <c r="B197" i="16" s="1"/>
  <c r="B272" i="15"/>
  <c r="B212" i="16" s="1"/>
  <c r="C287" i="15"/>
  <c r="C227" i="16" s="1"/>
  <c r="D287" i="15"/>
  <c r="D227" i="16" s="1"/>
  <c r="B287" i="15"/>
  <c r="C290" i="15"/>
  <c r="C230" i="16" s="1"/>
  <c r="D290" i="15"/>
  <c r="B290" i="15"/>
  <c r="B291" i="15"/>
  <c r="B186" i="15"/>
  <c r="B138" i="16" s="1"/>
  <c r="B201" i="15"/>
  <c r="B153" i="16" s="1"/>
  <c r="E91" i="10"/>
  <c r="G35" i="10"/>
  <c r="E123" i="15"/>
  <c r="E138" i="15"/>
  <c r="E115" i="15"/>
  <c r="E79" i="16" s="1"/>
  <c r="E130" i="15"/>
  <c r="E94" i="16" s="1"/>
  <c r="D148" i="15"/>
  <c r="D112" i="16" s="1"/>
  <c r="D77" i="15"/>
  <c r="D53" i="16" s="1"/>
  <c r="D81" i="15"/>
  <c r="D57" i="16" s="1"/>
  <c r="D73" i="15"/>
  <c r="D49" i="16" s="1"/>
  <c r="E63" i="15"/>
  <c r="E48" i="15"/>
  <c r="E24" i="16" s="1"/>
  <c r="E44" i="15"/>
  <c r="E20" i="16" s="1"/>
  <c r="E59" i="15"/>
  <c r="E35" i="16" s="1"/>
  <c r="E52" i="15"/>
  <c r="E28" i="16" s="1"/>
  <c r="E67" i="15"/>
  <c r="E43" i="16" s="1"/>
  <c r="E96" i="9"/>
  <c r="G41" i="11"/>
  <c r="G40" i="9"/>
  <c r="G53" i="9" s="1"/>
  <c r="E97" i="9"/>
  <c r="G41" i="9"/>
  <c r="G54" i="9" s="1"/>
  <c r="G39" i="9"/>
  <c r="G52" i="9" s="1"/>
  <c r="E95" i="9"/>
  <c r="G39" i="10"/>
  <c r="F34" i="15"/>
  <c r="G31" i="9"/>
  <c r="G35" i="9"/>
  <c r="G34" i="6"/>
  <c r="H34" i="10"/>
  <c r="H47" i="10" s="1"/>
  <c r="G32" i="12"/>
  <c r="G32" i="11"/>
  <c r="G35" i="11"/>
  <c r="G39" i="13"/>
  <c r="G40" i="12"/>
  <c r="H32" i="13"/>
  <c r="G35" i="12"/>
  <c r="H36" i="13"/>
  <c r="D57" i="8"/>
  <c r="E77" i="8"/>
  <c r="E87" i="9"/>
  <c r="E73" i="8"/>
  <c r="E91" i="13"/>
  <c r="G31" i="11"/>
  <c r="G44" i="11" s="1"/>
  <c r="F92" i="13"/>
  <c r="G41" i="10"/>
  <c r="G40" i="10"/>
  <c r="E81" i="8"/>
  <c r="G38" i="11"/>
  <c r="G31" i="10"/>
  <c r="G35" i="13"/>
  <c r="G48" i="13" s="1"/>
  <c r="E87" i="10"/>
  <c r="E53" i="8"/>
  <c r="D67" i="8"/>
  <c r="D65" i="8"/>
  <c r="G40" i="13"/>
  <c r="G39" i="11"/>
  <c r="G35" i="6"/>
  <c r="G40" i="6"/>
  <c r="I6" i="6"/>
  <c r="D10" i="1" a="1"/>
  <c r="B10" i="1" a="1"/>
  <c r="E99" i="8" a="1"/>
  <c r="E89" i="8" a="1"/>
  <c r="F89" i="8" a="1"/>
  <c r="E93" i="8" a="1"/>
  <c r="E97" i="8" a="1"/>
  <c r="E94" i="11" l="1"/>
  <c r="E103" i="16"/>
  <c r="E88" i="16"/>
  <c r="E257" i="16"/>
  <c r="E339" i="16"/>
  <c r="D61" i="8"/>
  <c r="E157" i="16"/>
  <c r="E88" i="11"/>
  <c r="D171" i="16"/>
  <c r="E32" i="8"/>
  <c r="D286" i="16"/>
  <c r="E102" i="16"/>
  <c r="D230" i="16"/>
  <c r="D392" i="16"/>
  <c r="E88" i="12"/>
  <c r="E91" i="11"/>
  <c r="E230" i="16" s="1"/>
  <c r="E87" i="6"/>
  <c r="D377" i="16"/>
  <c r="E95" i="10"/>
  <c r="E36" i="8"/>
  <c r="E338" i="16"/>
  <c r="E43" i="8"/>
  <c r="E87" i="16"/>
  <c r="E38" i="8"/>
  <c r="E112" i="16"/>
  <c r="E272" i="16"/>
  <c r="E91" i="9"/>
  <c r="E87" i="11"/>
  <c r="E96" i="6"/>
  <c r="E95" i="6"/>
  <c r="E95" i="11"/>
  <c r="E97" i="10"/>
  <c r="E28" i="8"/>
  <c r="E57" i="8" s="1"/>
  <c r="E90" i="6"/>
  <c r="G67" i="9"/>
  <c r="G82" i="9"/>
  <c r="F66" i="9"/>
  <c r="F81" i="9"/>
  <c r="G81" i="9"/>
  <c r="G66" i="9"/>
  <c r="F62" i="9"/>
  <c r="F91" i="9" s="1"/>
  <c r="F77" i="9"/>
  <c r="F58" i="9"/>
  <c r="F73" i="9"/>
  <c r="G21" i="15"/>
  <c r="G48" i="9"/>
  <c r="G83" i="9"/>
  <c r="G68" i="9"/>
  <c r="G17" i="15"/>
  <c r="G30" i="15" s="1"/>
  <c r="G44" i="9"/>
  <c r="E39" i="16"/>
  <c r="G18" i="15"/>
  <c r="G45" i="9"/>
  <c r="E47" i="8"/>
  <c r="E61" i="8" s="1"/>
  <c r="G92" i="15"/>
  <c r="G48" i="10"/>
  <c r="F58" i="10"/>
  <c r="F87" i="10" s="1"/>
  <c r="F73" i="10"/>
  <c r="G88" i="15"/>
  <c r="G44" i="10"/>
  <c r="E104" i="16"/>
  <c r="F61" i="10"/>
  <c r="F76" i="10"/>
  <c r="F97" i="16" s="1"/>
  <c r="F77" i="10"/>
  <c r="F62" i="10"/>
  <c r="E90" i="10"/>
  <c r="H61" i="10"/>
  <c r="H76" i="10"/>
  <c r="G97" i="15"/>
  <c r="G110" i="15" s="1"/>
  <c r="G53" i="10"/>
  <c r="G98" i="15"/>
  <c r="G54" i="10"/>
  <c r="G96" i="15"/>
  <c r="G52" i="10"/>
  <c r="G61" i="10"/>
  <c r="G76" i="10"/>
  <c r="F82" i="10"/>
  <c r="F67" i="10"/>
  <c r="F81" i="10"/>
  <c r="F66" i="10"/>
  <c r="F83" i="10"/>
  <c r="F97" i="10" s="1"/>
  <c r="F68" i="10"/>
  <c r="G81" i="6"/>
  <c r="G66" i="6"/>
  <c r="F76" i="6"/>
  <c r="F61" i="6"/>
  <c r="F58" i="6"/>
  <c r="F73" i="6"/>
  <c r="F83" i="6"/>
  <c r="F97" i="6" s="1"/>
  <c r="F68" i="6"/>
  <c r="G168" i="15"/>
  <c r="G53" i="6"/>
  <c r="E51" i="8"/>
  <c r="G162" i="15"/>
  <c r="G175" i="15" s="1"/>
  <c r="G204" i="15" s="1"/>
  <c r="G47" i="6"/>
  <c r="F82" i="6"/>
  <c r="F67" i="6"/>
  <c r="G159" i="15"/>
  <c r="G44" i="6"/>
  <c r="E52" i="8"/>
  <c r="E91" i="6"/>
  <c r="E37" i="8"/>
  <c r="G163" i="15"/>
  <c r="G176" i="15" s="1"/>
  <c r="G48" i="6"/>
  <c r="G169" i="15"/>
  <c r="G54" i="6"/>
  <c r="F62" i="6"/>
  <c r="F77" i="6"/>
  <c r="E93" i="8"/>
  <c r="E89" i="8"/>
  <c r="E99" i="8"/>
  <c r="E97" i="8"/>
  <c r="E212" i="16"/>
  <c r="F81" i="11"/>
  <c r="F66" i="11"/>
  <c r="F67" i="11"/>
  <c r="F82" i="11"/>
  <c r="G234" i="15"/>
  <c r="G247" i="15" s="1"/>
  <c r="G48" i="11"/>
  <c r="G58" i="11"/>
  <c r="G73" i="11"/>
  <c r="G231" i="15"/>
  <c r="G45" i="11"/>
  <c r="G240" i="15"/>
  <c r="G54" i="11"/>
  <c r="G239" i="15"/>
  <c r="G53" i="11"/>
  <c r="G237" i="15"/>
  <c r="G51" i="11"/>
  <c r="F65" i="11"/>
  <c r="F80" i="11"/>
  <c r="F68" i="11"/>
  <c r="F83" i="11"/>
  <c r="F97" i="11" s="1"/>
  <c r="F62" i="11"/>
  <c r="F77" i="11"/>
  <c r="F59" i="11"/>
  <c r="F74" i="11"/>
  <c r="G238" i="15"/>
  <c r="G52" i="11"/>
  <c r="G68" i="12"/>
  <c r="G83" i="12"/>
  <c r="F74" i="12"/>
  <c r="F59" i="12"/>
  <c r="E96" i="12"/>
  <c r="G58" i="12"/>
  <c r="G73" i="12"/>
  <c r="G66" i="12"/>
  <c r="G81" i="12"/>
  <c r="F77" i="12"/>
  <c r="F62" i="12"/>
  <c r="G302" i="15"/>
  <c r="G45" i="12"/>
  <c r="G305" i="15"/>
  <c r="G318" i="15" s="1"/>
  <c r="G48" i="12"/>
  <c r="F67" i="12"/>
  <c r="F82" i="12"/>
  <c r="G310" i="15"/>
  <c r="G53" i="12"/>
  <c r="G77" i="13"/>
  <c r="G62" i="13"/>
  <c r="G58" i="13"/>
  <c r="G73" i="13"/>
  <c r="G80" i="13"/>
  <c r="G65" i="13"/>
  <c r="H377" i="15"/>
  <c r="H49" i="13"/>
  <c r="G381" i="15"/>
  <c r="G53" i="13"/>
  <c r="F301" i="16"/>
  <c r="F81" i="13"/>
  <c r="F66" i="13"/>
  <c r="G78" i="13"/>
  <c r="G63" i="13"/>
  <c r="G380" i="15"/>
  <c r="G393" i="15" s="1"/>
  <c r="G52" i="13"/>
  <c r="H373" i="15"/>
  <c r="H386" i="15" s="1"/>
  <c r="H45" i="13"/>
  <c r="G83" i="13"/>
  <c r="G68" i="13"/>
  <c r="G373" i="15"/>
  <c r="G386" i="15" s="1"/>
  <c r="G45" i="13"/>
  <c r="G302" i="16" s="1"/>
  <c r="F77" i="13"/>
  <c r="F334" i="16" s="1"/>
  <c r="F62" i="13"/>
  <c r="F67" i="13"/>
  <c r="F82" i="13"/>
  <c r="F74" i="13"/>
  <c r="F59" i="13"/>
  <c r="C483" i="16"/>
  <c r="B377" i="16"/>
  <c r="B454" i="16"/>
  <c r="B392" i="16"/>
  <c r="B469" i="16"/>
  <c r="D10" i="1"/>
  <c r="B10" i="1"/>
  <c r="F89" i="8"/>
  <c r="G91" i="15"/>
  <c r="G104" i="15" s="1"/>
  <c r="G133" i="15" s="1"/>
  <c r="G97" i="16" s="1"/>
  <c r="F127" i="16"/>
  <c r="F305" i="16"/>
  <c r="F132" i="16"/>
  <c r="F308" i="16"/>
  <c r="E227" i="16"/>
  <c r="F315" i="16"/>
  <c r="F69" i="16"/>
  <c r="F133" i="16"/>
  <c r="F184" i="16"/>
  <c r="F242" i="16"/>
  <c r="F246" i="16"/>
  <c r="F65" i="16"/>
  <c r="F183" i="16"/>
  <c r="F243" i="16"/>
  <c r="F250" i="16"/>
  <c r="B492" i="15"/>
  <c r="B230" i="16"/>
  <c r="B406" i="16" s="1"/>
  <c r="B227" i="16"/>
  <c r="F187" i="16"/>
  <c r="F14" i="16"/>
  <c r="F309" i="16"/>
  <c r="E216" i="16"/>
  <c r="D483" i="16"/>
  <c r="F251" i="16"/>
  <c r="E363" i="16"/>
  <c r="C392" i="16"/>
  <c r="G306" i="16"/>
  <c r="F310" i="16"/>
  <c r="E213" i="16"/>
  <c r="F74" i="16"/>
  <c r="F75" i="16"/>
  <c r="F311" i="16"/>
  <c r="F302" i="16"/>
  <c r="F252" i="16"/>
  <c r="F16" i="16"/>
  <c r="F128" i="16"/>
  <c r="F10" i="16"/>
  <c r="F7" i="16"/>
  <c r="C377" i="16"/>
  <c r="E98" i="16"/>
  <c r="C406" i="16"/>
  <c r="E377" i="16"/>
  <c r="E454" i="16"/>
  <c r="F68" i="15"/>
  <c r="F44" i="16" s="1"/>
  <c r="F15" i="16"/>
  <c r="E432" i="15"/>
  <c r="E348" i="16" s="1"/>
  <c r="F421" i="15"/>
  <c r="F337" i="16" s="1"/>
  <c r="F406" i="15"/>
  <c r="F322" i="16" s="1"/>
  <c r="F87" i="13"/>
  <c r="E433" i="15"/>
  <c r="E349" i="16" s="1"/>
  <c r="H40" i="11"/>
  <c r="F257" i="15"/>
  <c r="F197" i="16" s="1"/>
  <c r="F272" i="15"/>
  <c r="F212" i="16" s="1"/>
  <c r="F69" i="15"/>
  <c r="F45" i="16" s="1"/>
  <c r="F54" i="15"/>
  <c r="F30" i="16" s="1"/>
  <c r="E74" i="15"/>
  <c r="E50" i="16" s="1"/>
  <c r="F53" i="15"/>
  <c r="E83" i="15"/>
  <c r="E59" i="16" s="1"/>
  <c r="E82" i="15"/>
  <c r="E58" i="16" s="1"/>
  <c r="F433" i="15"/>
  <c r="F349" i="16" s="1"/>
  <c r="F45" i="15"/>
  <c r="F21" i="16" s="1"/>
  <c r="F60" i="15"/>
  <c r="F36" i="16" s="1"/>
  <c r="F424" i="15"/>
  <c r="F340" i="16" s="1"/>
  <c r="F409" i="15"/>
  <c r="F325" i="16" s="1"/>
  <c r="G27" i="15"/>
  <c r="G40" i="15" s="1"/>
  <c r="G376" i="15"/>
  <c r="G389" i="15" s="1"/>
  <c r="G382" i="15"/>
  <c r="G395" i="15" s="1"/>
  <c r="G301" i="15"/>
  <c r="G314" i="15" s="1"/>
  <c r="G25" i="15"/>
  <c r="G38" i="15" s="1"/>
  <c r="G309" i="15"/>
  <c r="G322" i="15" s="1"/>
  <c r="G372" i="15"/>
  <c r="G385" i="15" s="1"/>
  <c r="G230" i="15"/>
  <c r="G243" i="15" s="1"/>
  <c r="G257" i="15" s="1"/>
  <c r="G26" i="15"/>
  <c r="G39" i="15" s="1"/>
  <c r="G311" i="15"/>
  <c r="G324" i="15" s="1"/>
  <c r="G379" i="15"/>
  <c r="G392" i="15" s="1"/>
  <c r="G421" i="15" s="1"/>
  <c r="G167" i="15"/>
  <c r="G180" i="15" s="1"/>
  <c r="G132" i="16" s="1"/>
  <c r="H91" i="15"/>
  <c r="H104" i="15" s="1"/>
  <c r="H68" i="16" s="1"/>
  <c r="E464" i="15"/>
  <c r="F509" i="15"/>
  <c r="E478" i="15"/>
  <c r="B493" i="15"/>
  <c r="C492" i="15"/>
  <c r="D492" i="15"/>
  <c r="B449" i="15"/>
  <c r="C448" i="15"/>
  <c r="B448" i="15"/>
  <c r="D448" i="15"/>
  <c r="H41" i="13"/>
  <c r="H54" i="13" s="1"/>
  <c r="F97" i="13"/>
  <c r="H31" i="13"/>
  <c r="H44" i="13" s="1"/>
  <c r="F414" i="15"/>
  <c r="F330" i="16" s="1"/>
  <c r="F97" i="12"/>
  <c r="H38" i="13"/>
  <c r="H51" i="13" s="1"/>
  <c r="F94" i="13"/>
  <c r="E400" i="15"/>
  <c r="E316" i="16" s="1"/>
  <c r="E415" i="15"/>
  <c r="E331" i="16" s="1"/>
  <c r="F407" i="15"/>
  <c r="F422" i="15"/>
  <c r="F338" i="16" s="1"/>
  <c r="G400" i="15"/>
  <c r="G415" i="15"/>
  <c r="F408" i="15"/>
  <c r="F423" i="15"/>
  <c r="G404" i="15"/>
  <c r="G419" i="15"/>
  <c r="F403" i="15"/>
  <c r="F432" i="15" s="1"/>
  <c r="F400" i="15"/>
  <c r="F429" i="15" s="1"/>
  <c r="H39" i="12"/>
  <c r="H52" i="12" s="1"/>
  <c r="H31" i="12"/>
  <c r="H44" i="12" s="1"/>
  <c r="F87" i="12"/>
  <c r="F95" i="12"/>
  <c r="H32" i="9"/>
  <c r="H45" i="9" s="1"/>
  <c r="H390" i="15"/>
  <c r="G394" i="15"/>
  <c r="H41" i="12"/>
  <c r="H54" i="12" s="1"/>
  <c r="E358" i="15"/>
  <c r="E286" i="16" s="1"/>
  <c r="F88" i="9"/>
  <c r="F329" i="15"/>
  <c r="F344" i="15"/>
  <c r="H39" i="6"/>
  <c r="H52" i="6" s="1"/>
  <c r="F74" i="8"/>
  <c r="F332" i="15"/>
  <c r="F347" i="15"/>
  <c r="F95" i="6"/>
  <c r="F82" i="8"/>
  <c r="G315" i="15"/>
  <c r="G323" i="15"/>
  <c r="E361" i="15"/>
  <c r="E289" i="16" s="1"/>
  <c r="F83" i="8"/>
  <c r="E219" i="15"/>
  <c r="G244" i="15"/>
  <c r="F81" i="8"/>
  <c r="F276" i="15"/>
  <c r="F216" i="16" s="1"/>
  <c r="F261" i="15"/>
  <c r="F258" i="15"/>
  <c r="F273" i="15"/>
  <c r="G105" i="15"/>
  <c r="G119" i="15" s="1"/>
  <c r="F190" i="15"/>
  <c r="F205" i="15"/>
  <c r="F157" i="16" s="1"/>
  <c r="H31" i="6"/>
  <c r="H41" i="6"/>
  <c r="G181" i="15"/>
  <c r="G195" i="15" s="1"/>
  <c r="F124" i="15"/>
  <c r="F139" i="15"/>
  <c r="F119" i="15"/>
  <c r="F134" i="15"/>
  <c r="F98" i="16" s="1"/>
  <c r="F115" i="15"/>
  <c r="F130" i="15"/>
  <c r="F94" i="16" s="1"/>
  <c r="F125" i="15"/>
  <c r="F89" i="16" s="1"/>
  <c r="F140" i="15"/>
  <c r="G101" i="15"/>
  <c r="G115" i="15" s="1"/>
  <c r="G111" i="15"/>
  <c r="D286" i="15"/>
  <c r="D226" i="16" s="1"/>
  <c r="E286" i="15"/>
  <c r="E226" i="16" s="1"/>
  <c r="C286" i="15"/>
  <c r="C226" i="16" s="1"/>
  <c r="B286" i="15"/>
  <c r="B226" i="16" s="1"/>
  <c r="C194" i="15"/>
  <c r="C146" i="16" s="1"/>
  <c r="C209" i="15"/>
  <c r="C161" i="16" s="1"/>
  <c r="B193" i="15"/>
  <c r="B208" i="15"/>
  <c r="F195" i="15"/>
  <c r="F210" i="15"/>
  <c r="F162" i="16" s="1"/>
  <c r="D195" i="15"/>
  <c r="D147" i="16" s="1"/>
  <c r="D210" i="15"/>
  <c r="D162" i="16" s="1"/>
  <c r="E195" i="15"/>
  <c r="E147" i="16" s="1"/>
  <c r="E210" i="15"/>
  <c r="E162" i="16" s="1"/>
  <c r="C189" i="15"/>
  <c r="C141" i="16" s="1"/>
  <c r="C204" i="15"/>
  <c r="C156" i="16" s="1"/>
  <c r="F194" i="15"/>
  <c r="F146" i="16" s="1"/>
  <c r="F209" i="15"/>
  <c r="F161" i="16" s="1"/>
  <c r="D194" i="15"/>
  <c r="D146" i="16" s="1"/>
  <c r="D209" i="15"/>
  <c r="D161" i="16" s="1"/>
  <c r="E189" i="15"/>
  <c r="E141" i="16" s="1"/>
  <c r="E204" i="15"/>
  <c r="E156" i="16" s="1"/>
  <c r="D189" i="15"/>
  <c r="D141" i="16" s="1"/>
  <c r="D204" i="15"/>
  <c r="D156" i="16" s="1"/>
  <c r="E194" i="15"/>
  <c r="E146" i="16" s="1"/>
  <c r="E209" i="15"/>
  <c r="E161" i="16" s="1"/>
  <c r="F189" i="15"/>
  <c r="F204" i="15"/>
  <c r="B195" i="15"/>
  <c r="B147" i="16" s="1"/>
  <c r="B210" i="15"/>
  <c r="B162" i="16" s="1"/>
  <c r="B194" i="15"/>
  <c r="B146" i="16" s="1"/>
  <c r="B209" i="15"/>
  <c r="B161" i="16" s="1"/>
  <c r="C195" i="15"/>
  <c r="C147" i="16" s="1"/>
  <c r="C210" i="15"/>
  <c r="C162" i="16" s="1"/>
  <c r="H35" i="10"/>
  <c r="B215" i="15"/>
  <c r="B167" i="16" s="1"/>
  <c r="F109" i="15"/>
  <c r="F73" i="16" s="1"/>
  <c r="G109" i="15"/>
  <c r="C153" i="15"/>
  <c r="C117" i="16" s="1"/>
  <c r="C152" i="15"/>
  <c r="C116" i="16" s="1"/>
  <c r="E153" i="15"/>
  <c r="E117" i="16" s="1"/>
  <c r="C147" i="15"/>
  <c r="C111" i="16" s="1"/>
  <c r="D153" i="15"/>
  <c r="D117" i="16" s="1"/>
  <c r="E152" i="15"/>
  <c r="E116" i="16" s="1"/>
  <c r="F147" i="15"/>
  <c r="B153" i="15"/>
  <c r="B117" i="16" s="1"/>
  <c r="D152" i="15"/>
  <c r="D116" i="16" s="1"/>
  <c r="B144" i="15"/>
  <c r="B108" i="16" s="1"/>
  <c r="B152" i="15"/>
  <c r="B116" i="16" s="1"/>
  <c r="D147" i="15"/>
  <c r="D111" i="16" s="1"/>
  <c r="B151" i="15"/>
  <c r="B115" i="16" s="1"/>
  <c r="E147" i="15"/>
  <c r="E111" i="16" s="1"/>
  <c r="E81" i="15"/>
  <c r="E57" i="16" s="1"/>
  <c r="E73" i="15"/>
  <c r="E49" i="16" s="1"/>
  <c r="E77" i="15"/>
  <c r="F63" i="15"/>
  <c r="F39" i="16" s="1"/>
  <c r="F48" i="15"/>
  <c r="F52" i="15"/>
  <c r="F28" i="16" s="1"/>
  <c r="F67" i="15"/>
  <c r="H41" i="11"/>
  <c r="H54" i="11" s="1"/>
  <c r="F96" i="9"/>
  <c r="H40" i="9"/>
  <c r="H53" i="9" s="1"/>
  <c r="F97" i="9"/>
  <c r="H41" i="9"/>
  <c r="H54" i="9" s="1"/>
  <c r="H39" i="9"/>
  <c r="H52" i="9" s="1"/>
  <c r="H35" i="9"/>
  <c r="F30" i="15"/>
  <c r="F6" i="16" s="1"/>
  <c r="H39" i="10"/>
  <c r="G31" i="15"/>
  <c r="H31" i="9"/>
  <c r="H32" i="11"/>
  <c r="I34" i="10"/>
  <c r="I47" i="10" s="1"/>
  <c r="H34" i="6"/>
  <c r="H32" i="12"/>
  <c r="H35" i="11"/>
  <c r="I32" i="13"/>
  <c r="F77" i="8"/>
  <c r="H40" i="12"/>
  <c r="H39" i="13"/>
  <c r="I36" i="13"/>
  <c r="G92" i="13"/>
  <c r="H35" i="12"/>
  <c r="F73" i="8"/>
  <c r="F87" i="11"/>
  <c r="E67" i="8"/>
  <c r="H38" i="11"/>
  <c r="F91" i="13"/>
  <c r="H41" i="10"/>
  <c r="H35" i="13"/>
  <c r="H48" i="13" s="1"/>
  <c r="H31" i="10"/>
  <c r="F43" i="8"/>
  <c r="H40" i="10"/>
  <c r="H31" i="11"/>
  <c r="H44" i="11" s="1"/>
  <c r="F51" i="8"/>
  <c r="H40" i="13"/>
  <c r="H39" i="11"/>
  <c r="F91" i="6"/>
  <c r="H40" i="6"/>
  <c r="H35" i="6"/>
  <c r="J6" i="6"/>
  <c r="B27" i="1" a="1"/>
  <c r="D26" i="1" a="1"/>
  <c r="C10" i="1" a="1"/>
  <c r="C26" i="1" a="1"/>
  <c r="F98" i="8" a="1"/>
  <c r="G89" i="8" a="1"/>
  <c r="F99" i="8" a="1"/>
  <c r="F93" i="8" a="1"/>
  <c r="F97" i="8" a="1"/>
  <c r="D406" i="16" l="1"/>
  <c r="F79" i="16"/>
  <c r="F213" i="16"/>
  <c r="F24" i="16"/>
  <c r="F104" i="16"/>
  <c r="F95" i="13"/>
  <c r="F96" i="6"/>
  <c r="F95" i="10"/>
  <c r="F91" i="10"/>
  <c r="F94" i="11"/>
  <c r="F36" i="8"/>
  <c r="F324" i="16"/>
  <c r="F87" i="9"/>
  <c r="F96" i="13"/>
  <c r="F88" i="11"/>
  <c r="F275" i="16"/>
  <c r="F392" i="16" s="1"/>
  <c r="F142" i="16"/>
  <c r="E171" i="16"/>
  <c r="F53" i="8"/>
  <c r="E53" i="16"/>
  <c r="F323" i="16"/>
  <c r="G320" i="16"/>
  <c r="F96" i="12"/>
  <c r="F147" i="16"/>
  <c r="F83" i="16"/>
  <c r="F91" i="12"/>
  <c r="F88" i="12"/>
  <c r="F32" i="8"/>
  <c r="E66" i="8"/>
  <c r="F95" i="9"/>
  <c r="F257" i="16"/>
  <c r="F339" i="16"/>
  <c r="F96" i="11"/>
  <c r="E65" i="8"/>
  <c r="F91" i="11"/>
  <c r="F95" i="11"/>
  <c r="F201" i="16"/>
  <c r="F260" i="16"/>
  <c r="F43" i="16"/>
  <c r="F141" i="16"/>
  <c r="F272" i="16"/>
  <c r="G90" i="10"/>
  <c r="F156" i="16"/>
  <c r="F90" i="10"/>
  <c r="F111" i="16" s="1"/>
  <c r="F90" i="6"/>
  <c r="G335" i="16"/>
  <c r="F38" i="8"/>
  <c r="F47" i="8"/>
  <c r="F37" i="8"/>
  <c r="F52" i="8"/>
  <c r="H17" i="15"/>
  <c r="H44" i="9"/>
  <c r="G58" i="9"/>
  <c r="G73" i="9"/>
  <c r="H82" i="9"/>
  <c r="H67" i="9"/>
  <c r="H74" i="9"/>
  <c r="H59" i="9"/>
  <c r="G62" i="9"/>
  <c r="G77" i="9"/>
  <c r="H68" i="9"/>
  <c r="H83" i="9"/>
  <c r="H21" i="15"/>
  <c r="H48" i="9"/>
  <c r="H66" i="9"/>
  <c r="H81" i="9"/>
  <c r="G74" i="9"/>
  <c r="G59" i="9"/>
  <c r="H97" i="15"/>
  <c r="H53" i="10"/>
  <c r="H96" i="15"/>
  <c r="H52" i="10"/>
  <c r="G58" i="10"/>
  <c r="G79" i="16" s="1"/>
  <c r="G73" i="10"/>
  <c r="G67" i="10"/>
  <c r="G82" i="10"/>
  <c r="I61" i="10"/>
  <c r="I76" i="10"/>
  <c r="F96" i="10"/>
  <c r="F82" i="16"/>
  <c r="G81" i="10"/>
  <c r="G66" i="10"/>
  <c r="F103" i="16"/>
  <c r="H98" i="15"/>
  <c r="H111" i="15" s="1"/>
  <c r="H54" i="10"/>
  <c r="H92" i="15"/>
  <c r="H105" i="15" s="1"/>
  <c r="H119" i="15" s="1"/>
  <c r="H48" i="10"/>
  <c r="F88" i="16"/>
  <c r="G83" i="10"/>
  <c r="G68" i="10"/>
  <c r="G77" i="10"/>
  <c r="G62" i="10"/>
  <c r="H88" i="15"/>
  <c r="H44" i="10"/>
  <c r="F28" i="8"/>
  <c r="F57" i="8" s="1"/>
  <c r="G83" i="6"/>
  <c r="G68" i="6"/>
  <c r="H163" i="15"/>
  <c r="H176" i="15" s="1"/>
  <c r="H48" i="6"/>
  <c r="H162" i="15"/>
  <c r="H47" i="6"/>
  <c r="F87" i="6"/>
  <c r="H169" i="15"/>
  <c r="H54" i="6"/>
  <c r="G62" i="6"/>
  <c r="G77" i="6"/>
  <c r="G61" i="6"/>
  <c r="G76" i="6"/>
  <c r="G156" i="16" s="1"/>
  <c r="H168" i="15"/>
  <c r="H53" i="6"/>
  <c r="H159" i="15"/>
  <c r="H44" i="6"/>
  <c r="H66" i="6"/>
  <c r="H81" i="6"/>
  <c r="G67" i="6"/>
  <c r="G147" i="16" s="1"/>
  <c r="G82" i="6"/>
  <c r="G73" i="6"/>
  <c r="G58" i="6"/>
  <c r="F97" i="8"/>
  <c r="F93" i="8"/>
  <c r="F99" i="8"/>
  <c r="F98" i="8"/>
  <c r="G81" i="11"/>
  <c r="G66" i="11"/>
  <c r="G74" i="11"/>
  <c r="G59" i="11"/>
  <c r="H83" i="11"/>
  <c r="H68" i="11"/>
  <c r="H238" i="15"/>
  <c r="H52" i="11"/>
  <c r="H73" i="11"/>
  <c r="H58" i="11"/>
  <c r="G80" i="11"/>
  <c r="G65" i="11"/>
  <c r="H234" i="15"/>
  <c r="H48" i="11"/>
  <c r="H237" i="15"/>
  <c r="H51" i="11"/>
  <c r="G67" i="11"/>
  <c r="G82" i="11"/>
  <c r="G77" i="11"/>
  <c r="G62" i="11"/>
  <c r="H239" i="15"/>
  <c r="H53" i="11"/>
  <c r="H231" i="15"/>
  <c r="H244" i="15" s="1"/>
  <c r="H45" i="11"/>
  <c r="F198" i="16"/>
  <c r="G68" i="11"/>
  <c r="G83" i="11"/>
  <c r="G62" i="12"/>
  <c r="G77" i="12"/>
  <c r="G74" i="12"/>
  <c r="G59" i="12"/>
  <c r="H310" i="15"/>
  <c r="H323" i="15" s="1"/>
  <c r="H53" i="12"/>
  <c r="H73" i="12"/>
  <c r="H58" i="12"/>
  <c r="G67" i="12"/>
  <c r="G82" i="12"/>
  <c r="H305" i="15"/>
  <c r="H48" i="12"/>
  <c r="H83" i="12"/>
  <c r="H68" i="12"/>
  <c r="H66" i="12"/>
  <c r="H81" i="12"/>
  <c r="H302" i="15"/>
  <c r="H315" i="15" s="1"/>
  <c r="H45" i="12"/>
  <c r="G59" i="13"/>
  <c r="G316" i="16" s="1"/>
  <c r="G74" i="13"/>
  <c r="G331" i="16" s="1"/>
  <c r="H78" i="13"/>
  <c r="H63" i="13"/>
  <c r="I377" i="15"/>
  <c r="I49" i="13"/>
  <c r="I373" i="15"/>
  <c r="I386" i="15" s="1"/>
  <c r="I45" i="13"/>
  <c r="H73" i="13"/>
  <c r="H58" i="13"/>
  <c r="H68" i="13"/>
  <c r="H83" i="13"/>
  <c r="F88" i="13"/>
  <c r="F345" i="16" s="1"/>
  <c r="H381" i="15"/>
  <c r="H53" i="13"/>
  <c r="H380" i="15"/>
  <c r="H393" i="15" s="1"/>
  <c r="H52" i="13"/>
  <c r="H74" i="13"/>
  <c r="H59" i="13"/>
  <c r="H77" i="13"/>
  <c r="H62" i="13"/>
  <c r="H65" i="13"/>
  <c r="H80" i="13"/>
  <c r="F331" i="16"/>
  <c r="G67" i="13"/>
  <c r="G82" i="13"/>
  <c r="G81" i="13"/>
  <c r="G66" i="13"/>
  <c r="E469" i="16"/>
  <c r="B483" i="16"/>
  <c r="G68" i="16"/>
  <c r="G118" i="15"/>
  <c r="D26" i="1"/>
  <c r="C26" i="1"/>
  <c r="B27" i="1"/>
  <c r="C10" i="1"/>
  <c r="G89" i="8"/>
  <c r="G128" i="16"/>
  <c r="G65" i="16"/>
  <c r="G127" i="16"/>
  <c r="G301" i="16"/>
  <c r="F348" i="16"/>
  <c r="G74" i="16"/>
  <c r="G187" i="16"/>
  <c r="G309" i="16"/>
  <c r="G73" i="16"/>
  <c r="G197" i="16"/>
  <c r="G14" i="16"/>
  <c r="H302" i="16"/>
  <c r="E392" i="16"/>
  <c r="G184" i="16"/>
  <c r="G251" i="16"/>
  <c r="G243" i="16"/>
  <c r="G250" i="16"/>
  <c r="G337" i="16"/>
  <c r="G308" i="16"/>
  <c r="G183" i="16"/>
  <c r="G311" i="16"/>
  <c r="G133" i="16"/>
  <c r="G7" i="16"/>
  <c r="I40" i="11"/>
  <c r="G305" i="16"/>
  <c r="G242" i="16"/>
  <c r="F83" i="15"/>
  <c r="F59" i="16" s="1"/>
  <c r="F363" i="16"/>
  <c r="G6" i="16"/>
  <c r="G252" i="16"/>
  <c r="E483" i="16"/>
  <c r="F469" i="16"/>
  <c r="G69" i="16"/>
  <c r="G75" i="16"/>
  <c r="H306" i="16"/>
  <c r="G15" i="16"/>
  <c r="G246" i="16"/>
  <c r="F319" i="16"/>
  <c r="F316" i="16"/>
  <c r="G310" i="16"/>
  <c r="G95" i="12"/>
  <c r="G16" i="16"/>
  <c r="F82" i="15"/>
  <c r="F58" i="16" s="1"/>
  <c r="F29" i="16"/>
  <c r="F286" i="15"/>
  <c r="F226" i="16" s="1"/>
  <c r="F74" i="15"/>
  <c r="F50" i="16" s="1"/>
  <c r="G409" i="15"/>
  <c r="G325" i="16" s="1"/>
  <c r="G424" i="15"/>
  <c r="G340" i="16" s="1"/>
  <c r="G68" i="15"/>
  <c r="G44" i="16" s="1"/>
  <c r="G53" i="15"/>
  <c r="G29" i="16" s="1"/>
  <c r="G399" i="15"/>
  <c r="G315" i="16" s="1"/>
  <c r="G414" i="15"/>
  <c r="G330" i="16" s="1"/>
  <c r="G194" i="15"/>
  <c r="G146" i="16" s="1"/>
  <c r="G209" i="15"/>
  <c r="G161" i="16" s="1"/>
  <c r="G403" i="15"/>
  <c r="G319" i="16" s="1"/>
  <c r="G418" i="15"/>
  <c r="G334" i="16" s="1"/>
  <c r="G69" i="15"/>
  <c r="G45" i="16" s="1"/>
  <c r="G54" i="15"/>
  <c r="G30" i="16" s="1"/>
  <c r="H240" i="15"/>
  <c r="G272" i="15"/>
  <c r="G286" i="15" s="1"/>
  <c r="H18" i="15"/>
  <c r="H31" i="15" s="1"/>
  <c r="H301" i="15"/>
  <c r="H314" i="15" s="1"/>
  <c r="H311" i="15"/>
  <c r="H324" i="15" s="1"/>
  <c r="H372" i="15"/>
  <c r="H385" i="15" s="1"/>
  <c r="H230" i="15"/>
  <c r="H243" i="15" s="1"/>
  <c r="H257" i="15" s="1"/>
  <c r="H382" i="15"/>
  <c r="H395" i="15" s="1"/>
  <c r="H118" i="15"/>
  <c r="H82" i="16" s="1"/>
  <c r="H133" i="15"/>
  <c r="H97" i="16" s="1"/>
  <c r="I91" i="15"/>
  <c r="I104" i="15" s="1"/>
  <c r="H27" i="15"/>
  <c r="H40" i="15" s="1"/>
  <c r="H167" i="15"/>
  <c r="H180" i="15" s="1"/>
  <c r="H379" i="15"/>
  <c r="H392" i="15" s="1"/>
  <c r="H308" i="16" s="1"/>
  <c r="H26" i="15"/>
  <c r="H39" i="15" s="1"/>
  <c r="H309" i="15"/>
  <c r="H322" i="15" s="1"/>
  <c r="H351" i="15" s="1"/>
  <c r="H25" i="15"/>
  <c r="H38" i="15" s="1"/>
  <c r="H376" i="15"/>
  <c r="H389" i="15" s="1"/>
  <c r="F464" i="15"/>
  <c r="E492" i="15"/>
  <c r="F478" i="15"/>
  <c r="E448" i="15"/>
  <c r="I41" i="13"/>
  <c r="I54" i="13" s="1"/>
  <c r="G97" i="13"/>
  <c r="G87" i="13"/>
  <c r="I38" i="13"/>
  <c r="I51" i="13" s="1"/>
  <c r="I31" i="13"/>
  <c r="I44" i="13" s="1"/>
  <c r="G94" i="13"/>
  <c r="G406" i="15"/>
  <c r="G322" i="16" s="1"/>
  <c r="G433" i="15"/>
  <c r="G349" i="16" s="1"/>
  <c r="E429" i="15"/>
  <c r="E345" i="16" s="1"/>
  <c r="I39" i="12"/>
  <c r="I52" i="12" s="1"/>
  <c r="G87" i="12"/>
  <c r="H404" i="15"/>
  <c r="H320" i="16" s="1"/>
  <c r="H419" i="15"/>
  <c r="G408" i="15"/>
  <c r="G423" i="15"/>
  <c r="I31" i="12"/>
  <c r="I44" i="12" s="1"/>
  <c r="I32" i="9"/>
  <c r="I45" i="9" s="1"/>
  <c r="G407" i="15"/>
  <c r="G422" i="15"/>
  <c r="H400" i="15"/>
  <c r="H415" i="15"/>
  <c r="I41" i="12"/>
  <c r="I54" i="12" s="1"/>
  <c r="G95" i="6"/>
  <c r="G429" i="15"/>
  <c r="H394" i="15"/>
  <c r="I39" i="6"/>
  <c r="I52" i="6" s="1"/>
  <c r="G81" i="8"/>
  <c r="I390" i="15"/>
  <c r="F358" i="15"/>
  <c r="F286" i="16" s="1"/>
  <c r="G97" i="12"/>
  <c r="G88" i="9"/>
  <c r="G337" i="15"/>
  <c r="G352" i="15"/>
  <c r="E337" i="15"/>
  <c r="E265" i="16" s="1"/>
  <c r="E352" i="15"/>
  <c r="E280" i="16" s="1"/>
  <c r="B336" i="15"/>
  <c r="B264" i="16" s="1"/>
  <c r="B351" i="15"/>
  <c r="B279" i="16" s="1"/>
  <c r="F337" i="15"/>
  <c r="F265" i="16" s="1"/>
  <c r="F352" i="15"/>
  <c r="F280" i="16" s="1"/>
  <c r="C336" i="15"/>
  <c r="C264" i="16" s="1"/>
  <c r="C351" i="15"/>
  <c r="C279" i="16" s="1"/>
  <c r="G332" i="15"/>
  <c r="G347" i="15"/>
  <c r="D336" i="15"/>
  <c r="D264" i="16" s="1"/>
  <c r="D351" i="15"/>
  <c r="D279" i="16" s="1"/>
  <c r="B337" i="15"/>
  <c r="B265" i="16" s="1"/>
  <c r="B352" i="15"/>
  <c r="B280" i="16" s="1"/>
  <c r="E336" i="15"/>
  <c r="E264" i="16" s="1"/>
  <c r="E351" i="15"/>
  <c r="E279" i="16" s="1"/>
  <c r="C337" i="15"/>
  <c r="C265" i="16" s="1"/>
  <c r="C352" i="15"/>
  <c r="C280" i="16" s="1"/>
  <c r="G329" i="15"/>
  <c r="G344" i="15"/>
  <c r="F336" i="15"/>
  <c r="F264" i="16" s="1"/>
  <c r="F351" i="15"/>
  <c r="F279" i="16" s="1"/>
  <c r="D337" i="15"/>
  <c r="D265" i="16" s="1"/>
  <c r="D352" i="15"/>
  <c r="D280" i="16" s="1"/>
  <c r="G336" i="15"/>
  <c r="G264" i="16" s="1"/>
  <c r="G351" i="15"/>
  <c r="G279" i="16" s="1"/>
  <c r="B328" i="15"/>
  <c r="B343" i="15"/>
  <c r="I41" i="6"/>
  <c r="G82" i="8"/>
  <c r="F361" i="15"/>
  <c r="H318" i="15"/>
  <c r="G74" i="8"/>
  <c r="I31" i="6"/>
  <c r="G258" i="15"/>
  <c r="G273" i="15"/>
  <c r="G213" i="16" s="1"/>
  <c r="H251" i="15"/>
  <c r="H247" i="15"/>
  <c r="F290" i="15"/>
  <c r="F230" i="16" s="1"/>
  <c r="G83" i="8"/>
  <c r="G276" i="15"/>
  <c r="G261" i="15"/>
  <c r="F287" i="15"/>
  <c r="F227" i="16" s="1"/>
  <c r="F219" i="15"/>
  <c r="F171" i="16" s="1"/>
  <c r="G91" i="10"/>
  <c r="G190" i="15"/>
  <c r="G205" i="15"/>
  <c r="F153" i="15"/>
  <c r="G210" i="15"/>
  <c r="G224" i="15" s="1"/>
  <c r="H181" i="15"/>
  <c r="F148" i="15"/>
  <c r="G125" i="15"/>
  <c r="G140" i="15"/>
  <c r="G124" i="15"/>
  <c r="G88" i="16" s="1"/>
  <c r="G139" i="15"/>
  <c r="H110" i="15"/>
  <c r="G130" i="15"/>
  <c r="H101" i="15"/>
  <c r="B249" i="15"/>
  <c r="B511" i="15" s="1"/>
  <c r="G251" i="15"/>
  <c r="G513" i="15" s="1"/>
  <c r="E251" i="15"/>
  <c r="C251" i="15"/>
  <c r="D251" i="15"/>
  <c r="B251" i="15"/>
  <c r="F251" i="15"/>
  <c r="F250" i="15"/>
  <c r="F190" i="16" s="1"/>
  <c r="G250" i="15"/>
  <c r="G190" i="16" s="1"/>
  <c r="E250" i="15"/>
  <c r="E190" i="16" s="1"/>
  <c r="D250" i="15"/>
  <c r="D190" i="16" s="1"/>
  <c r="C250" i="15"/>
  <c r="C190" i="16" s="1"/>
  <c r="B250" i="15"/>
  <c r="H250" i="15"/>
  <c r="G189" i="15"/>
  <c r="G218" i="15" s="1"/>
  <c r="H175" i="15"/>
  <c r="I35" i="10"/>
  <c r="G134" i="15"/>
  <c r="G148" i="15" s="1"/>
  <c r="C223" i="15"/>
  <c r="C175" i="16" s="1"/>
  <c r="E224" i="15"/>
  <c r="E176" i="16" s="1"/>
  <c r="C224" i="15"/>
  <c r="C176" i="16" s="1"/>
  <c r="D218" i="15"/>
  <c r="D170" i="16" s="1"/>
  <c r="E223" i="15"/>
  <c r="E175" i="16" s="1"/>
  <c r="D224" i="15"/>
  <c r="D176" i="16" s="1"/>
  <c r="F224" i="15"/>
  <c r="F176" i="16" s="1"/>
  <c r="F218" i="15"/>
  <c r="F170" i="16" s="1"/>
  <c r="B222" i="15"/>
  <c r="B223" i="15"/>
  <c r="B175" i="16" s="1"/>
  <c r="B224" i="15"/>
  <c r="B176" i="16" s="1"/>
  <c r="D223" i="15"/>
  <c r="D175" i="16" s="1"/>
  <c r="E218" i="15"/>
  <c r="E170" i="16" s="1"/>
  <c r="F223" i="15"/>
  <c r="F175" i="16" s="1"/>
  <c r="C218" i="15"/>
  <c r="C170" i="16" s="1"/>
  <c r="G123" i="15"/>
  <c r="G138" i="15"/>
  <c r="F123" i="15"/>
  <c r="F87" i="16" s="1"/>
  <c r="F138" i="15"/>
  <c r="F102" i="16" s="1"/>
  <c r="I39" i="10"/>
  <c r="H109" i="15"/>
  <c r="F81" i="15"/>
  <c r="F77" i="15"/>
  <c r="F53" i="16" s="1"/>
  <c r="G59" i="15"/>
  <c r="G44" i="15"/>
  <c r="G67" i="15"/>
  <c r="G43" i="16" s="1"/>
  <c r="G52" i="15"/>
  <c r="G28" i="16" s="1"/>
  <c r="G60" i="15"/>
  <c r="G36" i="16" s="1"/>
  <c r="G45" i="15"/>
  <c r="G21" i="16" s="1"/>
  <c r="F44" i="15"/>
  <c r="F20" i="16" s="1"/>
  <c r="F59" i="15"/>
  <c r="F35" i="16" s="1"/>
  <c r="I40" i="9"/>
  <c r="I53" i="9" s="1"/>
  <c r="I41" i="11"/>
  <c r="G97" i="11"/>
  <c r="G96" i="9"/>
  <c r="I41" i="9"/>
  <c r="I54" i="9" s="1"/>
  <c r="G97" i="9"/>
  <c r="G95" i="9"/>
  <c r="I39" i="9"/>
  <c r="I52" i="9" s="1"/>
  <c r="H30" i="15"/>
  <c r="G91" i="9"/>
  <c r="H34" i="15"/>
  <c r="I35" i="9"/>
  <c r="H90" i="10"/>
  <c r="I31" i="9"/>
  <c r="G34" i="15"/>
  <c r="G10" i="16" s="1"/>
  <c r="I32" i="12"/>
  <c r="I32" i="11"/>
  <c r="J34" i="10"/>
  <c r="J47" i="10" s="1"/>
  <c r="I39" i="13"/>
  <c r="I34" i="6"/>
  <c r="I35" i="11"/>
  <c r="I40" i="12"/>
  <c r="J32" i="13"/>
  <c r="J36" i="13"/>
  <c r="I35" i="12"/>
  <c r="F61" i="8"/>
  <c r="G96" i="10"/>
  <c r="J40" i="11"/>
  <c r="G77" i="8"/>
  <c r="G87" i="11"/>
  <c r="G91" i="13"/>
  <c r="I38" i="11"/>
  <c r="I31" i="11"/>
  <c r="I44" i="11" s="1"/>
  <c r="G73" i="8"/>
  <c r="I40" i="10"/>
  <c r="I41" i="10"/>
  <c r="I35" i="13"/>
  <c r="I48" i="13" s="1"/>
  <c r="I31" i="10"/>
  <c r="G96" i="6"/>
  <c r="F65" i="8"/>
  <c r="I40" i="13"/>
  <c r="I39" i="11"/>
  <c r="I35" i="6"/>
  <c r="I40" i="6"/>
  <c r="K6" i="6"/>
  <c r="E26" i="1" a="1"/>
  <c r="B26" i="1" a="1"/>
  <c r="C11" i="1" a="1"/>
  <c r="G93" i="8" a="1"/>
  <c r="G99" i="8" a="1"/>
  <c r="H99" i="8" a="1"/>
  <c r="G97" i="8" a="1"/>
  <c r="H89" i="8" a="1"/>
  <c r="G98" i="8" a="1"/>
  <c r="G96" i="13" l="1"/>
  <c r="G88" i="12"/>
  <c r="F112" i="16"/>
  <c r="G257" i="16"/>
  <c r="G102" i="16"/>
  <c r="G104" i="16"/>
  <c r="G272" i="16"/>
  <c r="H331" i="16"/>
  <c r="G323" i="16"/>
  <c r="F67" i="8"/>
  <c r="E406" i="16"/>
  <c r="F289" i="16"/>
  <c r="G52" i="8"/>
  <c r="G53" i="8"/>
  <c r="G87" i="9"/>
  <c r="G324" i="16"/>
  <c r="G37" i="8"/>
  <c r="G91" i="12"/>
  <c r="G94" i="11"/>
  <c r="G88" i="11"/>
  <c r="G28" i="8"/>
  <c r="G275" i="16"/>
  <c r="G216" i="16"/>
  <c r="F117" i="16"/>
  <c r="G280" i="16"/>
  <c r="F377" i="16"/>
  <c r="G96" i="12"/>
  <c r="G260" i="16"/>
  <c r="G35" i="16"/>
  <c r="G95" i="13"/>
  <c r="H88" i="13"/>
  <c r="H92" i="13"/>
  <c r="G47" i="8"/>
  <c r="G95" i="10"/>
  <c r="F66" i="8"/>
  <c r="G265" i="16"/>
  <c r="F57" i="16"/>
  <c r="G91" i="6"/>
  <c r="G157" i="16"/>
  <c r="H335" i="16"/>
  <c r="G36" i="8"/>
  <c r="G65" i="8" s="1"/>
  <c r="G87" i="16"/>
  <c r="H316" i="16"/>
  <c r="G87" i="6"/>
  <c r="G89" i="16"/>
  <c r="G90" i="6"/>
  <c r="G170" i="16" s="1"/>
  <c r="G20" i="16"/>
  <c r="G32" i="8"/>
  <c r="G339" i="16"/>
  <c r="G51" i="8"/>
  <c r="G97" i="10"/>
  <c r="G87" i="10"/>
  <c r="G97" i="6"/>
  <c r="G91" i="11"/>
  <c r="I66" i="9"/>
  <c r="I81" i="9"/>
  <c r="I17" i="15"/>
  <c r="I44" i="9"/>
  <c r="H62" i="9"/>
  <c r="H77" i="9"/>
  <c r="I21" i="15"/>
  <c r="I48" i="9"/>
  <c r="I68" i="9"/>
  <c r="I83" i="9"/>
  <c r="I74" i="9"/>
  <c r="I59" i="9"/>
  <c r="H58" i="9"/>
  <c r="H73" i="9"/>
  <c r="I82" i="9"/>
  <c r="I67" i="9"/>
  <c r="I92" i="15"/>
  <c r="I48" i="10"/>
  <c r="G83" i="16"/>
  <c r="G43" i="8"/>
  <c r="G94" i="16"/>
  <c r="G38" i="8"/>
  <c r="I98" i="15"/>
  <c r="I111" i="15" s="1"/>
  <c r="I54" i="10"/>
  <c r="J76" i="10"/>
  <c r="J61" i="10"/>
  <c r="I96" i="15"/>
  <c r="I109" i="15" s="1"/>
  <c r="I52" i="10"/>
  <c r="H81" i="10"/>
  <c r="H66" i="10"/>
  <c r="I88" i="15"/>
  <c r="I44" i="10"/>
  <c r="I97" i="15"/>
  <c r="I53" i="10"/>
  <c r="H77" i="10"/>
  <c r="H91" i="10" s="1"/>
  <c r="H62" i="10"/>
  <c r="H58" i="10"/>
  <c r="H73" i="10"/>
  <c r="H67" i="10"/>
  <c r="H82" i="10"/>
  <c r="G103" i="16"/>
  <c r="H68" i="10"/>
  <c r="H83" i="10"/>
  <c r="I159" i="15"/>
  <c r="I44" i="6"/>
  <c r="H82" i="6"/>
  <c r="H67" i="6"/>
  <c r="I66" i="6"/>
  <c r="I81" i="6"/>
  <c r="H58" i="6"/>
  <c r="H73" i="6"/>
  <c r="I169" i="15"/>
  <c r="I54" i="6"/>
  <c r="H61" i="6"/>
  <c r="H76" i="6"/>
  <c r="H83" i="6"/>
  <c r="H68" i="6"/>
  <c r="I163" i="15"/>
  <c r="I48" i="6"/>
  <c r="G142" i="16"/>
  <c r="I162" i="15"/>
  <c r="I175" i="15" s="1"/>
  <c r="I47" i="6"/>
  <c r="H77" i="6"/>
  <c r="H62" i="6"/>
  <c r="I168" i="15"/>
  <c r="I53" i="6"/>
  <c r="G99" i="8"/>
  <c r="G93" i="8"/>
  <c r="G98" i="8"/>
  <c r="G97" i="8"/>
  <c r="I231" i="15"/>
  <c r="I244" i="15" s="1"/>
  <c r="I45" i="11"/>
  <c r="I239" i="15"/>
  <c r="I53" i="11"/>
  <c r="I238" i="15"/>
  <c r="I251" i="15" s="1"/>
  <c r="I265" i="15" s="1"/>
  <c r="I52" i="11"/>
  <c r="I73" i="11"/>
  <c r="I58" i="11"/>
  <c r="I240" i="15"/>
  <c r="I54" i="11"/>
  <c r="G201" i="16"/>
  <c r="G198" i="16"/>
  <c r="G96" i="11"/>
  <c r="I237" i="15"/>
  <c r="I51" i="11"/>
  <c r="I234" i="15"/>
  <c r="I48" i="11"/>
  <c r="G95" i="11"/>
  <c r="H59" i="11"/>
  <c r="H74" i="11"/>
  <c r="H65" i="11"/>
  <c r="H80" i="11"/>
  <c r="H81" i="11"/>
  <c r="H66" i="11"/>
  <c r="H67" i="11"/>
  <c r="H82" i="11"/>
  <c r="H77" i="11"/>
  <c r="H62" i="11"/>
  <c r="J239" i="15"/>
  <c r="J53" i="11"/>
  <c r="I305" i="15"/>
  <c r="I318" i="15" s="1"/>
  <c r="I48" i="12"/>
  <c r="I302" i="15"/>
  <c r="I45" i="12"/>
  <c r="H82" i="12"/>
  <c r="H67" i="12"/>
  <c r="I73" i="12"/>
  <c r="I58" i="12"/>
  <c r="H62" i="12"/>
  <c r="H77" i="12"/>
  <c r="I66" i="12"/>
  <c r="I81" i="12"/>
  <c r="I83" i="12"/>
  <c r="I68" i="12"/>
  <c r="H59" i="12"/>
  <c r="H74" i="12"/>
  <c r="I310" i="15"/>
  <c r="I323" i="15" s="1"/>
  <c r="I53" i="12"/>
  <c r="H82" i="13"/>
  <c r="H67" i="13"/>
  <c r="I59" i="13"/>
  <c r="I74" i="13"/>
  <c r="J377" i="15"/>
  <c r="J390" i="15" s="1"/>
  <c r="J49" i="13"/>
  <c r="G338" i="16"/>
  <c r="I65" i="13"/>
  <c r="I80" i="13"/>
  <c r="I381" i="15"/>
  <c r="I53" i="13"/>
  <c r="I73" i="13"/>
  <c r="I58" i="13"/>
  <c r="I78" i="13"/>
  <c r="I63" i="13"/>
  <c r="I77" i="13"/>
  <c r="I62" i="13"/>
  <c r="J373" i="15"/>
  <c r="J45" i="13"/>
  <c r="I380" i="15"/>
  <c r="I52" i="13"/>
  <c r="I83" i="13"/>
  <c r="I68" i="13"/>
  <c r="H81" i="13"/>
  <c r="H66" i="13"/>
  <c r="G88" i="13"/>
  <c r="G345" i="16" s="1"/>
  <c r="B26" i="1"/>
  <c r="I68" i="16"/>
  <c r="G147" i="15"/>
  <c r="G111" i="16" s="1"/>
  <c r="G82" i="16"/>
  <c r="C11" i="1"/>
  <c r="E26" i="1"/>
  <c r="H246" i="16"/>
  <c r="F454" i="16"/>
  <c r="H99" i="8"/>
  <c r="H89" i="8"/>
  <c r="H197" i="16"/>
  <c r="H190" i="16"/>
  <c r="H191" i="16"/>
  <c r="H183" i="16"/>
  <c r="G176" i="16"/>
  <c r="H75" i="16"/>
  <c r="H128" i="16"/>
  <c r="G226" i="16"/>
  <c r="H65" i="16"/>
  <c r="G363" i="16"/>
  <c r="H10" i="16"/>
  <c r="H184" i="16"/>
  <c r="H242" i="16"/>
  <c r="H305" i="16"/>
  <c r="H73" i="16"/>
  <c r="B512" i="15"/>
  <c r="B190" i="16"/>
  <c r="I302" i="16"/>
  <c r="H301" i="16"/>
  <c r="H132" i="16"/>
  <c r="B474" i="15"/>
  <c r="B271" i="16"/>
  <c r="H133" i="16"/>
  <c r="B256" i="16"/>
  <c r="B460" i="15"/>
  <c r="H74" i="16"/>
  <c r="H127" i="16"/>
  <c r="B513" i="15"/>
  <c r="B191" i="16"/>
  <c r="B367" i="16" s="1"/>
  <c r="H252" i="16"/>
  <c r="H6" i="16"/>
  <c r="H187" i="16"/>
  <c r="I306" i="16"/>
  <c r="G112" i="16"/>
  <c r="F483" i="16"/>
  <c r="F406" i="16"/>
  <c r="H243" i="16"/>
  <c r="H279" i="16"/>
  <c r="H83" i="16"/>
  <c r="F513" i="15"/>
  <c r="F191" i="16"/>
  <c r="F367" i="16" s="1"/>
  <c r="H15" i="16"/>
  <c r="G162" i="16"/>
  <c r="H251" i="16"/>
  <c r="H310" i="16"/>
  <c r="G191" i="16"/>
  <c r="G367" i="16" s="1"/>
  <c r="D513" i="15"/>
  <c r="D191" i="16"/>
  <c r="D367" i="16" s="1"/>
  <c r="G141" i="16"/>
  <c r="C513" i="15"/>
  <c r="C191" i="16"/>
  <c r="H16" i="16"/>
  <c r="G212" i="16"/>
  <c r="E513" i="15"/>
  <c r="E191" i="16"/>
  <c r="E367" i="16" s="1"/>
  <c r="H69" i="16"/>
  <c r="H309" i="16"/>
  <c r="H250" i="16"/>
  <c r="H14" i="16"/>
  <c r="H311" i="16"/>
  <c r="G98" i="16"/>
  <c r="H60" i="15"/>
  <c r="H36" i="16" s="1"/>
  <c r="H7" i="16"/>
  <c r="G223" i="15"/>
  <c r="G175" i="16" s="1"/>
  <c r="G82" i="15"/>
  <c r="G58" i="16" s="1"/>
  <c r="H95" i="12"/>
  <c r="H95" i="9"/>
  <c r="H69" i="15"/>
  <c r="H45" i="16" s="1"/>
  <c r="H54" i="15"/>
  <c r="H30" i="16" s="1"/>
  <c r="H53" i="15"/>
  <c r="H68" i="15"/>
  <c r="H44" i="16" s="1"/>
  <c r="H87" i="12"/>
  <c r="H147" i="15"/>
  <c r="H111" i="16" s="1"/>
  <c r="H97" i="11"/>
  <c r="G432" i="15"/>
  <c r="G348" i="16" s="1"/>
  <c r="H194" i="15"/>
  <c r="H146" i="16" s="1"/>
  <c r="H209" i="15"/>
  <c r="H161" i="16" s="1"/>
  <c r="H409" i="15"/>
  <c r="H325" i="16" s="1"/>
  <c r="H424" i="15"/>
  <c r="H340" i="16" s="1"/>
  <c r="H399" i="15"/>
  <c r="H315" i="16" s="1"/>
  <c r="H414" i="15"/>
  <c r="H330" i="16" s="1"/>
  <c r="H418" i="15"/>
  <c r="H334" i="16" s="1"/>
  <c r="H403" i="15"/>
  <c r="H319" i="16" s="1"/>
  <c r="H406" i="15"/>
  <c r="H322" i="16" s="1"/>
  <c r="H421" i="15"/>
  <c r="H337" i="16" s="1"/>
  <c r="I26" i="15"/>
  <c r="I39" i="15" s="1"/>
  <c r="G83" i="15"/>
  <c r="G59" i="16" s="1"/>
  <c r="I18" i="15"/>
  <c r="I31" i="15" s="1"/>
  <c r="I27" i="15"/>
  <c r="I40" i="15" s="1"/>
  <c r="I301" i="15"/>
  <c r="I314" i="15" s="1"/>
  <c r="H272" i="15"/>
  <c r="H286" i="15" s="1"/>
  <c r="J38" i="13"/>
  <c r="I379" i="15"/>
  <c r="I392" i="15" s="1"/>
  <c r="I406" i="15" s="1"/>
  <c r="I382" i="15"/>
  <c r="I395" i="15" s="1"/>
  <c r="I409" i="15" s="1"/>
  <c r="I25" i="15"/>
  <c r="I38" i="15" s="1"/>
  <c r="J91" i="15"/>
  <c r="J104" i="15" s="1"/>
  <c r="J68" i="16" s="1"/>
  <c r="H45" i="15"/>
  <c r="H21" i="16" s="1"/>
  <c r="I167" i="15"/>
  <c r="I180" i="15" s="1"/>
  <c r="I194" i="15" s="1"/>
  <c r="I311" i="15"/>
  <c r="I324" i="15" s="1"/>
  <c r="I309" i="15"/>
  <c r="I322" i="15" s="1"/>
  <c r="I351" i="15" s="1"/>
  <c r="I230" i="15"/>
  <c r="I243" i="15" s="1"/>
  <c r="I118" i="15"/>
  <c r="I82" i="16" s="1"/>
  <c r="I133" i="15"/>
  <c r="I97" i="16" s="1"/>
  <c r="I376" i="15"/>
  <c r="I389" i="15" s="1"/>
  <c r="I403" i="15" s="1"/>
  <c r="I372" i="15"/>
  <c r="I385" i="15" s="1"/>
  <c r="G509" i="15"/>
  <c r="H513" i="15"/>
  <c r="H509" i="15"/>
  <c r="F492" i="15"/>
  <c r="F448" i="15"/>
  <c r="J41" i="13"/>
  <c r="J54" i="13" s="1"/>
  <c r="H97" i="13"/>
  <c r="J31" i="13"/>
  <c r="J44" i="13" s="1"/>
  <c r="H94" i="13"/>
  <c r="H336" i="15"/>
  <c r="H365" i="15" s="1"/>
  <c r="H87" i="13"/>
  <c r="J32" i="9"/>
  <c r="J45" i="9" s="1"/>
  <c r="J39" i="12"/>
  <c r="J52" i="12" s="1"/>
  <c r="H88" i="9"/>
  <c r="J31" i="12"/>
  <c r="J44" i="12" s="1"/>
  <c r="H407" i="15"/>
  <c r="H422" i="15"/>
  <c r="I400" i="15"/>
  <c r="I415" i="15"/>
  <c r="I404" i="15"/>
  <c r="I419" i="15"/>
  <c r="H408" i="15"/>
  <c r="H423" i="15"/>
  <c r="J31" i="6"/>
  <c r="J41" i="12"/>
  <c r="J54" i="12" s="1"/>
  <c r="H95" i="6"/>
  <c r="H352" i="15"/>
  <c r="H429" i="15"/>
  <c r="H97" i="12"/>
  <c r="H433" i="15"/>
  <c r="J39" i="6"/>
  <c r="J52" i="6" s="1"/>
  <c r="I394" i="15"/>
  <c r="J386" i="15"/>
  <c r="G358" i="15"/>
  <c r="G286" i="16" s="1"/>
  <c r="H329" i="15"/>
  <c r="H344" i="15"/>
  <c r="J41" i="6"/>
  <c r="B335" i="15"/>
  <c r="B350" i="15"/>
  <c r="H332" i="15"/>
  <c r="H260" i="16" s="1"/>
  <c r="H347" i="15"/>
  <c r="H275" i="16" s="1"/>
  <c r="H74" i="8"/>
  <c r="H337" i="15"/>
  <c r="H82" i="8"/>
  <c r="I315" i="15"/>
  <c r="G361" i="15"/>
  <c r="G289" i="16" s="1"/>
  <c r="G290" i="15"/>
  <c r="F365" i="15"/>
  <c r="F293" i="16" s="1"/>
  <c r="H81" i="8"/>
  <c r="D366" i="15"/>
  <c r="D294" i="16" s="1"/>
  <c r="D365" i="15"/>
  <c r="D293" i="16" s="1"/>
  <c r="G287" i="15"/>
  <c r="G227" i="16" s="1"/>
  <c r="G365" i="15"/>
  <c r="G293" i="16" s="1"/>
  <c r="E366" i="15"/>
  <c r="E294" i="16" s="1"/>
  <c r="F366" i="15"/>
  <c r="F294" i="16" s="1"/>
  <c r="C365" i="15"/>
  <c r="C293" i="16" s="1"/>
  <c r="C366" i="15"/>
  <c r="C294" i="16" s="1"/>
  <c r="G366" i="15"/>
  <c r="B357" i="15"/>
  <c r="B285" i="16" s="1"/>
  <c r="B366" i="15"/>
  <c r="B294" i="16" s="1"/>
  <c r="E365" i="15"/>
  <c r="E293" i="16" s="1"/>
  <c r="B365" i="15"/>
  <c r="B293" i="16" s="1"/>
  <c r="H83" i="8"/>
  <c r="I250" i="15"/>
  <c r="I247" i="15"/>
  <c r="H258" i="15"/>
  <c r="H198" i="16" s="1"/>
  <c r="H273" i="15"/>
  <c r="H276" i="15"/>
  <c r="H261" i="15"/>
  <c r="G219" i="15"/>
  <c r="H205" i="15"/>
  <c r="H190" i="15"/>
  <c r="I176" i="15"/>
  <c r="H195" i="15"/>
  <c r="H147" i="16" s="1"/>
  <c r="H210" i="15"/>
  <c r="H162" i="16" s="1"/>
  <c r="I181" i="15"/>
  <c r="I210" i="15" s="1"/>
  <c r="G153" i="15"/>
  <c r="G117" i="16" s="1"/>
  <c r="H124" i="15"/>
  <c r="H139" i="15"/>
  <c r="H125" i="15"/>
  <c r="H140" i="15"/>
  <c r="H115" i="15"/>
  <c r="H130" i="15"/>
  <c r="I110" i="15"/>
  <c r="J35" i="10"/>
  <c r="J48" i="10" s="1"/>
  <c r="I105" i="15"/>
  <c r="I119" i="15" s="1"/>
  <c r="I101" i="15"/>
  <c r="G264" i="15"/>
  <c r="G204" i="16" s="1"/>
  <c r="G279" i="15"/>
  <c r="G219" i="16" s="1"/>
  <c r="B264" i="15"/>
  <c r="B279" i="15"/>
  <c r="C265" i="15"/>
  <c r="C280" i="15"/>
  <c r="C264" i="15"/>
  <c r="C204" i="16" s="1"/>
  <c r="C279" i="15"/>
  <c r="C219" i="16" s="1"/>
  <c r="B265" i="15"/>
  <c r="B280" i="15"/>
  <c r="F265" i="15"/>
  <c r="F280" i="15"/>
  <c r="D265" i="15"/>
  <c r="D280" i="15"/>
  <c r="D220" i="16" s="1"/>
  <c r="D396" i="16" s="1"/>
  <c r="G265" i="15"/>
  <c r="G280" i="15"/>
  <c r="E265" i="15"/>
  <c r="E280" i="15"/>
  <c r="B263" i="15"/>
  <c r="B278" i="15"/>
  <c r="D264" i="15"/>
  <c r="D204" i="16" s="1"/>
  <c r="D279" i="15"/>
  <c r="D219" i="16" s="1"/>
  <c r="E264" i="15"/>
  <c r="E204" i="16" s="1"/>
  <c r="E279" i="15"/>
  <c r="E219" i="16" s="1"/>
  <c r="H265" i="15"/>
  <c r="H205" i="16" s="1"/>
  <c r="H280" i="15"/>
  <c r="H264" i="15"/>
  <c r="H279" i="15"/>
  <c r="H219" i="16" s="1"/>
  <c r="F264" i="15"/>
  <c r="F204" i="16" s="1"/>
  <c r="F279" i="15"/>
  <c r="F219" i="16" s="1"/>
  <c r="H134" i="15"/>
  <c r="H148" i="15" s="1"/>
  <c r="J34" i="6"/>
  <c r="H189" i="15"/>
  <c r="H141" i="16" s="1"/>
  <c r="H204" i="15"/>
  <c r="F152" i="15"/>
  <c r="F116" i="16" s="1"/>
  <c r="H123" i="15"/>
  <c r="H87" i="16" s="1"/>
  <c r="H138" i="15"/>
  <c r="J39" i="10"/>
  <c r="G152" i="15"/>
  <c r="G116" i="16" s="1"/>
  <c r="G73" i="15"/>
  <c r="G49" i="16" s="1"/>
  <c r="G81" i="15"/>
  <c r="G57" i="16" s="1"/>
  <c r="F73" i="15"/>
  <c r="F49" i="16" s="1"/>
  <c r="G74" i="15"/>
  <c r="G50" i="16" s="1"/>
  <c r="H48" i="15"/>
  <c r="H63" i="15"/>
  <c r="H39" i="16" s="1"/>
  <c r="J40" i="9"/>
  <c r="J53" i="9" s="1"/>
  <c r="H67" i="15"/>
  <c r="H43" i="16" s="1"/>
  <c r="H52" i="15"/>
  <c r="H28" i="16" s="1"/>
  <c r="G48" i="15"/>
  <c r="G24" i="16" s="1"/>
  <c r="G63" i="15"/>
  <c r="G39" i="16" s="1"/>
  <c r="H59" i="15"/>
  <c r="H44" i="15"/>
  <c r="H96" i="9"/>
  <c r="J41" i="11"/>
  <c r="J41" i="9"/>
  <c r="J54" i="9" s="1"/>
  <c r="H97" i="9"/>
  <c r="H73" i="8"/>
  <c r="J39" i="9"/>
  <c r="J52" i="9" s="1"/>
  <c r="I34" i="15"/>
  <c r="J31" i="9"/>
  <c r="J44" i="9" s="1"/>
  <c r="I30" i="15"/>
  <c r="J35" i="9"/>
  <c r="J48" i="9" s="1"/>
  <c r="I90" i="10"/>
  <c r="J32" i="12"/>
  <c r="J32" i="11"/>
  <c r="K34" i="10"/>
  <c r="K47" i="10" s="1"/>
  <c r="J39" i="13"/>
  <c r="J40" i="12"/>
  <c r="J35" i="11"/>
  <c r="H96" i="12"/>
  <c r="K36" i="13"/>
  <c r="K32" i="13"/>
  <c r="H77" i="8"/>
  <c r="J35" i="12"/>
  <c r="G57" i="8"/>
  <c r="H91" i="13"/>
  <c r="H87" i="11"/>
  <c r="J31" i="10"/>
  <c r="J40" i="10"/>
  <c r="K40" i="11"/>
  <c r="J31" i="11"/>
  <c r="J44" i="11" s="1"/>
  <c r="J38" i="11"/>
  <c r="J41" i="10"/>
  <c r="J35" i="13"/>
  <c r="J48" i="13" s="1"/>
  <c r="G66" i="8"/>
  <c r="J40" i="13"/>
  <c r="J39" i="11"/>
  <c r="H96" i="6"/>
  <c r="J35" i="6"/>
  <c r="J40" i="6"/>
  <c r="F26" i="1" a="1"/>
  <c r="B6" i="1" a="1"/>
  <c r="D6" i="1" a="1"/>
  <c r="H93" i="8" a="1"/>
  <c r="I89" i="8" a="1"/>
  <c r="H97" i="8" a="1"/>
  <c r="H98" i="8" a="1"/>
  <c r="I88" i="13" l="1"/>
  <c r="H91" i="6"/>
  <c r="H96" i="10"/>
  <c r="G67" i="8"/>
  <c r="H349" i="16"/>
  <c r="H265" i="16"/>
  <c r="I331" i="16"/>
  <c r="H87" i="6"/>
  <c r="H95" i="13"/>
  <c r="H96" i="13"/>
  <c r="H90" i="6"/>
  <c r="I308" i="16"/>
  <c r="H91" i="12"/>
  <c r="H95" i="11"/>
  <c r="H87" i="9"/>
  <c r="H94" i="11"/>
  <c r="H20" i="16"/>
  <c r="H24" i="16"/>
  <c r="G294" i="16"/>
  <c r="H38" i="8"/>
  <c r="H220" i="16"/>
  <c r="I320" i="16"/>
  <c r="H32" i="8"/>
  <c r="H28" i="8"/>
  <c r="H51" i="8"/>
  <c r="H87" i="10"/>
  <c r="H91" i="9"/>
  <c r="H345" i="16"/>
  <c r="H280" i="16"/>
  <c r="H103" i="16"/>
  <c r="G230" i="16"/>
  <c r="I316" i="16"/>
  <c r="H142" i="16"/>
  <c r="G171" i="16"/>
  <c r="H216" i="16"/>
  <c r="H53" i="8"/>
  <c r="G61" i="8"/>
  <c r="H97" i="10"/>
  <c r="H97" i="6"/>
  <c r="H204" i="16"/>
  <c r="H104" i="16"/>
  <c r="I92" i="13"/>
  <c r="H338" i="16"/>
  <c r="H157" i="16"/>
  <c r="H88" i="16"/>
  <c r="H91" i="11"/>
  <c r="H88" i="11"/>
  <c r="H37" i="8"/>
  <c r="H156" i="16"/>
  <c r="H323" i="16"/>
  <c r="H36" i="8"/>
  <c r="H95" i="10"/>
  <c r="H324" i="16"/>
  <c r="H88" i="12"/>
  <c r="J73" i="9"/>
  <c r="J58" i="9"/>
  <c r="J68" i="9"/>
  <c r="J83" i="9"/>
  <c r="I62" i="9"/>
  <c r="I77" i="9"/>
  <c r="J67" i="9"/>
  <c r="J82" i="9"/>
  <c r="J81" i="9"/>
  <c r="J66" i="9"/>
  <c r="H47" i="8"/>
  <c r="H61" i="8" s="1"/>
  <c r="H35" i="16"/>
  <c r="I73" i="9"/>
  <c r="I58" i="9"/>
  <c r="J77" i="9"/>
  <c r="J62" i="9"/>
  <c r="J59" i="9"/>
  <c r="J74" i="9"/>
  <c r="I58" i="10"/>
  <c r="I73" i="10"/>
  <c r="I68" i="10"/>
  <c r="I83" i="10"/>
  <c r="J98" i="15"/>
  <c r="J111" i="15" s="1"/>
  <c r="J54" i="10"/>
  <c r="H102" i="16"/>
  <c r="H89" i="16"/>
  <c r="J96" i="15"/>
  <c r="J52" i="10"/>
  <c r="J77" i="10"/>
  <c r="J62" i="10"/>
  <c r="I66" i="10"/>
  <c r="I81" i="10"/>
  <c r="J88" i="15"/>
  <c r="J44" i="10"/>
  <c r="H43" i="8"/>
  <c r="H94" i="16"/>
  <c r="I82" i="10"/>
  <c r="I67" i="10"/>
  <c r="I62" i="10"/>
  <c r="I83" i="16" s="1"/>
  <c r="I77" i="10"/>
  <c r="K61" i="10"/>
  <c r="K76" i="10"/>
  <c r="J97" i="15"/>
  <c r="J110" i="15" s="1"/>
  <c r="J53" i="10"/>
  <c r="H79" i="16"/>
  <c r="J162" i="15"/>
  <c r="J175" i="15" s="1"/>
  <c r="J47" i="6"/>
  <c r="I82" i="6"/>
  <c r="I67" i="6"/>
  <c r="I77" i="6"/>
  <c r="I62" i="6"/>
  <c r="J169" i="15"/>
  <c r="J54" i="6"/>
  <c r="J159" i="15"/>
  <c r="J44" i="6"/>
  <c r="J168" i="15"/>
  <c r="J53" i="6"/>
  <c r="J66" i="6"/>
  <c r="J81" i="6"/>
  <c r="I61" i="6"/>
  <c r="I76" i="6"/>
  <c r="I68" i="6"/>
  <c r="I83" i="6"/>
  <c r="I97" i="6" s="1"/>
  <c r="I73" i="6"/>
  <c r="I58" i="6"/>
  <c r="J163" i="15"/>
  <c r="J176" i="15" s="1"/>
  <c r="J205" i="15" s="1"/>
  <c r="J48" i="6"/>
  <c r="H93" i="8"/>
  <c r="H98" i="8"/>
  <c r="H97" i="8"/>
  <c r="J238" i="15"/>
  <c r="J251" i="15" s="1"/>
  <c r="J52" i="11"/>
  <c r="I67" i="11"/>
  <c r="I82" i="11"/>
  <c r="I59" i="11"/>
  <c r="I74" i="11"/>
  <c r="J231" i="15"/>
  <c r="J45" i="11"/>
  <c r="H201" i="16"/>
  <c r="I77" i="11"/>
  <c r="I62" i="11"/>
  <c r="J234" i="15"/>
  <c r="J247" i="15" s="1"/>
  <c r="J48" i="11"/>
  <c r="K239" i="15"/>
  <c r="K53" i="11"/>
  <c r="J237" i="15"/>
  <c r="J51" i="11"/>
  <c r="J240" i="15"/>
  <c r="J54" i="11"/>
  <c r="H52" i="8"/>
  <c r="H213" i="16"/>
  <c r="H96" i="11"/>
  <c r="I65" i="11"/>
  <c r="I80" i="11"/>
  <c r="J67" i="11"/>
  <c r="J96" i="11" s="1"/>
  <c r="J82" i="11"/>
  <c r="I81" i="11"/>
  <c r="I66" i="11"/>
  <c r="I205" i="16" s="1"/>
  <c r="I83" i="11"/>
  <c r="I68" i="11"/>
  <c r="J58" i="11"/>
  <c r="J73" i="11"/>
  <c r="J73" i="12"/>
  <c r="J58" i="12"/>
  <c r="H272" i="16"/>
  <c r="H257" i="16"/>
  <c r="I74" i="12"/>
  <c r="I59" i="12"/>
  <c r="J302" i="15"/>
  <c r="J45" i="12"/>
  <c r="J310" i="15"/>
  <c r="J323" i="15" s="1"/>
  <c r="J53" i="12"/>
  <c r="I67" i="12"/>
  <c r="I82" i="12"/>
  <c r="I77" i="12"/>
  <c r="I62" i="12"/>
  <c r="J68" i="12"/>
  <c r="J83" i="12"/>
  <c r="J305" i="15"/>
  <c r="J318" i="15" s="1"/>
  <c r="J48" i="12"/>
  <c r="J66" i="12"/>
  <c r="J81" i="12"/>
  <c r="I81" i="13"/>
  <c r="I51" i="8" s="1"/>
  <c r="I66" i="13"/>
  <c r="J63" i="13"/>
  <c r="J78" i="13"/>
  <c r="J379" i="15"/>
  <c r="J392" i="15" s="1"/>
  <c r="J421" i="15" s="1"/>
  <c r="J51" i="13"/>
  <c r="K377" i="15"/>
  <c r="K49" i="13"/>
  <c r="J381" i="15"/>
  <c r="J53" i="13"/>
  <c r="J77" i="13"/>
  <c r="J62" i="13"/>
  <c r="J380" i="15"/>
  <c r="J393" i="15" s="1"/>
  <c r="J52" i="13"/>
  <c r="H339" i="16"/>
  <c r="J73" i="13"/>
  <c r="J58" i="13"/>
  <c r="J59" i="13"/>
  <c r="J74" i="13"/>
  <c r="I67" i="13"/>
  <c r="I82" i="13"/>
  <c r="K373" i="15"/>
  <c r="K45" i="13"/>
  <c r="I335" i="16"/>
  <c r="J83" i="13"/>
  <c r="J68" i="13"/>
  <c r="D473" i="16"/>
  <c r="I319" i="16"/>
  <c r="F26" i="1"/>
  <c r="D6" i="1"/>
  <c r="B6" i="1"/>
  <c r="I89" i="8"/>
  <c r="I183" i="16"/>
  <c r="I252" i="16"/>
  <c r="I184" i="16"/>
  <c r="I69" i="16"/>
  <c r="I243" i="16"/>
  <c r="J306" i="16"/>
  <c r="I133" i="16"/>
  <c r="I127" i="16"/>
  <c r="I162" i="16"/>
  <c r="I73" i="16"/>
  <c r="I325" i="16"/>
  <c r="I322" i="16"/>
  <c r="H363" i="16"/>
  <c r="I65" i="16"/>
  <c r="I305" i="16"/>
  <c r="I191" i="16"/>
  <c r="B468" i="15"/>
  <c r="B205" i="16"/>
  <c r="I146" i="16"/>
  <c r="I242" i="16"/>
  <c r="B481" i="15"/>
  <c r="B219" i="16"/>
  <c r="B472" i="16" s="1"/>
  <c r="B366" i="16"/>
  <c r="B467" i="15"/>
  <c r="B204" i="16"/>
  <c r="B457" i="16" s="1"/>
  <c r="B450" i="16"/>
  <c r="B373" i="16"/>
  <c r="I190" i="16"/>
  <c r="B482" i="15"/>
  <c r="B220" i="16"/>
  <c r="B465" i="16"/>
  <c r="B388" i="16"/>
  <c r="I187" i="16"/>
  <c r="I251" i="16"/>
  <c r="I6" i="16"/>
  <c r="H112" i="16"/>
  <c r="H473" i="16"/>
  <c r="F468" i="15"/>
  <c r="F205" i="16"/>
  <c r="I74" i="16"/>
  <c r="E482" i="15"/>
  <c r="E220" i="16"/>
  <c r="I250" i="16"/>
  <c r="H212" i="16"/>
  <c r="H264" i="16"/>
  <c r="H458" i="16" s="1"/>
  <c r="E468" i="15"/>
  <c r="E205" i="16"/>
  <c r="I310" i="16"/>
  <c r="I279" i="16"/>
  <c r="I311" i="16"/>
  <c r="I15" i="16"/>
  <c r="G482" i="15"/>
  <c r="G220" i="16"/>
  <c r="I75" i="16"/>
  <c r="I246" i="16"/>
  <c r="G469" i="16"/>
  <c r="G392" i="16"/>
  <c r="G468" i="15"/>
  <c r="G205" i="16"/>
  <c r="C367" i="16"/>
  <c r="H98" i="16"/>
  <c r="C482" i="15"/>
  <c r="C220" i="16"/>
  <c r="C473" i="16" s="1"/>
  <c r="I128" i="16"/>
  <c r="I10" i="16"/>
  <c r="D468" i="15"/>
  <c r="D205" i="16"/>
  <c r="C468" i="15"/>
  <c r="C205" i="16"/>
  <c r="C458" i="16" s="1"/>
  <c r="J302" i="16"/>
  <c r="I301" i="16"/>
  <c r="I16" i="16"/>
  <c r="H293" i="16"/>
  <c r="H226" i="16"/>
  <c r="F482" i="15"/>
  <c r="F220" i="16"/>
  <c r="I132" i="16"/>
  <c r="I7" i="16"/>
  <c r="H367" i="16"/>
  <c r="G377" i="16"/>
  <c r="G454" i="16"/>
  <c r="H223" i="15"/>
  <c r="H175" i="16" s="1"/>
  <c r="H83" i="15"/>
  <c r="H59" i="16" s="1"/>
  <c r="I67" i="15"/>
  <c r="I43" i="16" s="1"/>
  <c r="I14" i="16"/>
  <c r="H82" i="15"/>
  <c r="H58" i="16" s="1"/>
  <c r="H29" i="16"/>
  <c r="H74" i="15"/>
  <c r="H50" i="16" s="1"/>
  <c r="K38" i="13"/>
  <c r="I399" i="15"/>
  <c r="I315" i="16" s="1"/>
  <c r="I414" i="15"/>
  <c r="I330" i="16" s="1"/>
  <c r="H432" i="15"/>
  <c r="H348" i="16" s="1"/>
  <c r="I69" i="15"/>
  <c r="I45" i="16" s="1"/>
  <c r="I54" i="15"/>
  <c r="I30" i="16" s="1"/>
  <c r="I257" i="15"/>
  <c r="I197" i="16" s="1"/>
  <c r="I272" i="15"/>
  <c r="I212" i="16" s="1"/>
  <c r="I53" i="15"/>
  <c r="I29" i="16" s="1"/>
  <c r="I68" i="15"/>
  <c r="I44" i="16" s="1"/>
  <c r="J301" i="15"/>
  <c r="J314" i="15" s="1"/>
  <c r="I147" i="15"/>
  <c r="I111" i="16" s="1"/>
  <c r="K91" i="15"/>
  <c r="K104" i="15" s="1"/>
  <c r="J167" i="15"/>
  <c r="J180" i="15" s="1"/>
  <c r="J92" i="15"/>
  <c r="J105" i="15" s="1"/>
  <c r="I418" i="15"/>
  <c r="I432" i="15" s="1"/>
  <c r="J27" i="15"/>
  <c r="J40" i="15" s="1"/>
  <c r="I424" i="15"/>
  <c r="I340" i="16" s="1"/>
  <c r="I209" i="15"/>
  <c r="I223" i="15" s="1"/>
  <c r="J311" i="15"/>
  <c r="J324" i="15" s="1"/>
  <c r="J252" i="16" s="1"/>
  <c r="J372" i="15"/>
  <c r="J385" i="15" s="1"/>
  <c r="J17" i="15"/>
  <c r="J30" i="15" s="1"/>
  <c r="I52" i="15"/>
  <c r="I28" i="16" s="1"/>
  <c r="J376" i="15"/>
  <c r="J389" i="15" s="1"/>
  <c r="J305" i="16" s="1"/>
  <c r="J26" i="15"/>
  <c r="J39" i="15" s="1"/>
  <c r="J309" i="15"/>
  <c r="J322" i="15" s="1"/>
  <c r="J351" i="15" s="1"/>
  <c r="J18" i="15"/>
  <c r="J31" i="15" s="1"/>
  <c r="J118" i="15"/>
  <c r="J82" i="16" s="1"/>
  <c r="J133" i="15"/>
  <c r="J97" i="16" s="1"/>
  <c r="J230" i="15"/>
  <c r="J243" i="15" s="1"/>
  <c r="J25" i="15"/>
  <c r="J38" i="15" s="1"/>
  <c r="J21" i="15"/>
  <c r="J34" i="15" s="1"/>
  <c r="K41" i="13"/>
  <c r="J382" i="15"/>
  <c r="J395" i="15" s="1"/>
  <c r="J409" i="15" s="1"/>
  <c r="G464" i="15"/>
  <c r="G478" i="15"/>
  <c r="I45" i="15"/>
  <c r="I21" i="16" s="1"/>
  <c r="I509" i="15"/>
  <c r="D482" i="15"/>
  <c r="H478" i="15"/>
  <c r="H468" i="15"/>
  <c r="H482" i="15"/>
  <c r="H464" i="15"/>
  <c r="I97" i="13"/>
  <c r="K32" i="9"/>
  <c r="K45" i="9" s="1"/>
  <c r="I87" i="13"/>
  <c r="K31" i="13"/>
  <c r="K44" i="13" s="1"/>
  <c r="I88" i="9"/>
  <c r="I421" i="15"/>
  <c r="I337" i="16" s="1"/>
  <c r="I94" i="13"/>
  <c r="K31" i="6"/>
  <c r="I95" i="12"/>
  <c r="K31" i="12"/>
  <c r="K44" i="12" s="1"/>
  <c r="K41" i="12"/>
  <c r="K54" i="12" s="1"/>
  <c r="I60" i="15"/>
  <c r="I36" i="16" s="1"/>
  <c r="K39" i="12"/>
  <c r="K52" i="12" s="1"/>
  <c r="I87" i="12"/>
  <c r="I336" i="15"/>
  <c r="I365" i="15" s="1"/>
  <c r="I97" i="12"/>
  <c r="J404" i="15"/>
  <c r="J419" i="15"/>
  <c r="I408" i="15"/>
  <c r="I324" i="16" s="1"/>
  <c r="I423" i="15"/>
  <c r="J400" i="15"/>
  <c r="J415" i="15"/>
  <c r="J331" i="16" s="1"/>
  <c r="I393" i="15"/>
  <c r="I513" i="15" s="1"/>
  <c r="K39" i="6"/>
  <c r="K52" i="6" s="1"/>
  <c r="K41" i="6"/>
  <c r="I95" i="6"/>
  <c r="I429" i="15"/>
  <c r="I345" i="16" s="1"/>
  <c r="J394" i="15"/>
  <c r="I433" i="15"/>
  <c r="F436" i="15"/>
  <c r="F352" i="16" s="1"/>
  <c r="I81" i="8"/>
  <c r="I82" i="8"/>
  <c r="G436" i="15"/>
  <c r="G352" i="16" s="1"/>
  <c r="I87" i="6"/>
  <c r="B430" i="15"/>
  <c r="H436" i="15"/>
  <c r="H352" i="16" s="1"/>
  <c r="D436" i="15"/>
  <c r="D352" i="16" s="1"/>
  <c r="E436" i="15"/>
  <c r="E352" i="16" s="1"/>
  <c r="C436" i="15"/>
  <c r="C352" i="16" s="1"/>
  <c r="B436" i="15"/>
  <c r="B352" i="16" s="1"/>
  <c r="H361" i="15"/>
  <c r="H289" i="16" s="1"/>
  <c r="I329" i="15"/>
  <c r="I344" i="15"/>
  <c r="I332" i="15"/>
  <c r="I347" i="15"/>
  <c r="I275" i="16" s="1"/>
  <c r="I337" i="15"/>
  <c r="I265" i="16" s="1"/>
  <c r="I352" i="15"/>
  <c r="H366" i="15"/>
  <c r="H294" i="16" s="1"/>
  <c r="I74" i="8"/>
  <c r="I83" i="8"/>
  <c r="H358" i="15"/>
  <c r="H286" i="16" s="1"/>
  <c r="J315" i="15"/>
  <c r="K35" i="12"/>
  <c r="K48" i="12" s="1"/>
  <c r="H290" i="15"/>
  <c r="H230" i="16" s="1"/>
  <c r="K35" i="10"/>
  <c r="K48" i="10" s="1"/>
  <c r="B364" i="15"/>
  <c r="I264" i="15"/>
  <c r="I279" i="15"/>
  <c r="I219" i="16" s="1"/>
  <c r="I261" i="15"/>
  <c r="I201" i="16" s="1"/>
  <c r="I276" i="15"/>
  <c r="I216" i="16" s="1"/>
  <c r="I273" i="15"/>
  <c r="I258" i="15"/>
  <c r="J244" i="15"/>
  <c r="H287" i="15"/>
  <c r="H227" i="16" s="1"/>
  <c r="J250" i="15"/>
  <c r="H224" i="15"/>
  <c r="H176" i="16" s="1"/>
  <c r="H153" i="15"/>
  <c r="H117" i="16" s="1"/>
  <c r="H219" i="15"/>
  <c r="H171" i="16" s="1"/>
  <c r="I205" i="15"/>
  <c r="I190" i="15"/>
  <c r="I195" i="15"/>
  <c r="I224" i="15" s="1"/>
  <c r="J181" i="15"/>
  <c r="K34" i="6"/>
  <c r="K47" i="6" s="1"/>
  <c r="I138" i="15"/>
  <c r="I102" i="16" s="1"/>
  <c r="I123" i="15"/>
  <c r="I124" i="15"/>
  <c r="I88" i="16" s="1"/>
  <c r="I139" i="15"/>
  <c r="I125" i="15"/>
  <c r="I140" i="15"/>
  <c r="I104" i="16" s="1"/>
  <c r="I115" i="15"/>
  <c r="I130" i="15"/>
  <c r="J101" i="15"/>
  <c r="J109" i="15"/>
  <c r="I280" i="15"/>
  <c r="I294" i="15" s="1"/>
  <c r="D294" i="15"/>
  <c r="I134" i="15"/>
  <c r="I148" i="15" s="1"/>
  <c r="H218" i="15"/>
  <c r="H170" i="16" s="1"/>
  <c r="F294" i="15"/>
  <c r="F234" i="16" s="1"/>
  <c r="E294" i="15"/>
  <c r="G294" i="15"/>
  <c r="E293" i="15"/>
  <c r="E233" i="16" s="1"/>
  <c r="F293" i="15"/>
  <c r="F233" i="16" s="1"/>
  <c r="D293" i="15"/>
  <c r="D233" i="16" s="1"/>
  <c r="B294" i="15"/>
  <c r="B234" i="16" s="1"/>
  <c r="H293" i="15"/>
  <c r="B292" i="15"/>
  <c r="H294" i="15"/>
  <c r="H234" i="16" s="1"/>
  <c r="C294" i="15"/>
  <c r="C234" i="16" s="1"/>
  <c r="B293" i="15"/>
  <c r="B233" i="16" s="1"/>
  <c r="G293" i="15"/>
  <c r="G233" i="16" s="1"/>
  <c r="C293" i="15"/>
  <c r="C233" i="16" s="1"/>
  <c r="I189" i="15"/>
  <c r="I204" i="15"/>
  <c r="K39" i="10"/>
  <c r="H152" i="15"/>
  <c r="H116" i="16" s="1"/>
  <c r="H77" i="15"/>
  <c r="H53" i="16" s="1"/>
  <c r="H81" i="15"/>
  <c r="H57" i="16" s="1"/>
  <c r="K40" i="9"/>
  <c r="K53" i="9" s="1"/>
  <c r="G77" i="15"/>
  <c r="G53" i="16" s="1"/>
  <c r="H73" i="15"/>
  <c r="H49" i="16" s="1"/>
  <c r="I96" i="9"/>
  <c r="I59" i="15"/>
  <c r="I44" i="15"/>
  <c r="I20" i="16" s="1"/>
  <c r="I48" i="15"/>
  <c r="I63" i="15"/>
  <c r="K41" i="11"/>
  <c r="K41" i="9"/>
  <c r="K54" i="9" s="1"/>
  <c r="H67" i="8"/>
  <c r="I97" i="9"/>
  <c r="I73" i="8"/>
  <c r="I95" i="9"/>
  <c r="K39" i="9"/>
  <c r="K52" i="9" s="1"/>
  <c r="I91" i="9"/>
  <c r="K35" i="9"/>
  <c r="K48" i="9" s="1"/>
  <c r="K31" i="9"/>
  <c r="K44" i="9" s="1"/>
  <c r="K32" i="11"/>
  <c r="J184" i="16"/>
  <c r="K32" i="12"/>
  <c r="J90" i="10"/>
  <c r="K39" i="13"/>
  <c r="I96" i="12"/>
  <c r="K35" i="11"/>
  <c r="K40" i="12"/>
  <c r="I91" i="11"/>
  <c r="I77" i="8"/>
  <c r="K38" i="11"/>
  <c r="I91" i="13"/>
  <c r="K35" i="13"/>
  <c r="K48" i="13" s="1"/>
  <c r="K41" i="10"/>
  <c r="I87" i="11"/>
  <c r="K31" i="11"/>
  <c r="K44" i="11" s="1"/>
  <c r="K40" i="10"/>
  <c r="K31" i="10"/>
  <c r="I96" i="13"/>
  <c r="K40" i="13"/>
  <c r="K39" i="11"/>
  <c r="I95" i="11"/>
  <c r="I96" i="6"/>
  <c r="K40" i="6"/>
  <c r="K35" i="6"/>
  <c r="D13" i="1" a="1"/>
  <c r="D14" i="1" a="1"/>
  <c r="B14" i="1" a="1"/>
  <c r="B13" i="1" a="1"/>
  <c r="I99" i="8" a="1"/>
  <c r="I97" i="8" a="1"/>
  <c r="I93" i="8" a="1"/>
  <c r="J98" i="8" a="1"/>
  <c r="I98" i="8" a="1"/>
  <c r="J89" i="8" a="1"/>
  <c r="I95" i="13" l="1"/>
  <c r="J88" i="13"/>
  <c r="I213" i="16"/>
  <c r="I349" i="16"/>
  <c r="J316" i="16"/>
  <c r="J92" i="13"/>
  <c r="I97" i="10"/>
  <c r="H65" i="8"/>
  <c r="J308" i="16"/>
  <c r="H233" i="16"/>
  <c r="H66" i="8"/>
  <c r="I280" i="16"/>
  <c r="I43" i="8"/>
  <c r="H396" i="16"/>
  <c r="I157" i="16"/>
  <c r="I91" i="6"/>
  <c r="H57" i="8"/>
  <c r="I94" i="16"/>
  <c r="I272" i="16"/>
  <c r="I24" i="16"/>
  <c r="I38" i="8"/>
  <c r="I204" i="16"/>
  <c r="J320" i="16"/>
  <c r="I35" i="16"/>
  <c r="I89" i="16"/>
  <c r="I52" i="8"/>
  <c r="H377" i="16"/>
  <c r="I36" i="8"/>
  <c r="I260" i="16"/>
  <c r="I103" i="16"/>
  <c r="I94" i="11"/>
  <c r="I96" i="10"/>
  <c r="I87" i="9"/>
  <c r="I28" i="8"/>
  <c r="J406" i="15"/>
  <c r="H454" i="16"/>
  <c r="J335" i="16"/>
  <c r="I47" i="8"/>
  <c r="I87" i="16"/>
  <c r="I95" i="10"/>
  <c r="H392" i="16"/>
  <c r="I39" i="16"/>
  <c r="I37" i="8"/>
  <c r="I339" i="16"/>
  <c r="I88" i="11"/>
  <c r="I32" i="8"/>
  <c r="I87" i="10"/>
  <c r="I90" i="6"/>
  <c r="I156" i="16"/>
  <c r="I141" i="16"/>
  <c r="I142" i="16"/>
  <c r="I91" i="12"/>
  <c r="I88" i="12"/>
  <c r="K58" i="9"/>
  <c r="K73" i="9"/>
  <c r="K77" i="9"/>
  <c r="K62" i="9"/>
  <c r="K68" i="9"/>
  <c r="L68" i="9" s="1"/>
  <c r="K83" i="9"/>
  <c r="K81" i="9"/>
  <c r="K66" i="9"/>
  <c r="K67" i="9"/>
  <c r="K82" i="9"/>
  <c r="K59" i="9"/>
  <c r="K74" i="9"/>
  <c r="K96" i="15"/>
  <c r="K109" i="15" s="1"/>
  <c r="K52" i="10"/>
  <c r="J68" i="10"/>
  <c r="J83" i="10"/>
  <c r="K97" i="15"/>
  <c r="K53" i="10"/>
  <c r="J73" i="10"/>
  <c r="J58" i="10"/>
  <c r="I91" i="10"/>
  <c r="I79" i="16"/>
  <c r="K62" i="10"/>
  <c r="K77" i="10"/>
  <c r="K98" i="15"/>
  <c r="K54" i="10"/>
  <c r="K88" i="15"/>
  <c r="K44" i="10"/>
  <c r="J82" i="10"/>
  <c r="J67" i="10"/>
  <c r="J66" i="10"/>
  <c r="J81" i="10"/>
  <c r="J68" i="6"/>
  <c r="J83" i="6"/>
  <c r="K159" i="15"/>
  <c r="K44" i="6"/>
  <c r="J77" i="6"/>
  <c r="J157" i="16" s="1"/>
  <c r="J62" i="6"/>
  <c r="K163" i="15"/>
  <c r="K48" i="6"/>
  <c r="J67" i="6"/>
  <c r="J82" i="6"/>
  <c r="K61" i="6"/>
  <c r="K76" i="6"/>
  <c r="K169" i="15"/>
  <c r="K54" i="6"/>
  <c r="J73" i="6"/>
  <c r="J58" i="6"/>
  <c r="J76" i="6"/>
  <c r="J61" i="6"/>
  <c r="K168" i="15"/>
  <c r="K53" i="6"/>
  <c r="K81" i="6"/>
  <c r="K66" i="6"/>
  <c r="I99" i="8"/>
  <c r="I98" i="8"/>
  <c r="I97" i="8"/>
  <c r="I93" i="8"/>
  <c r="F487" i="16"/>
  <c r="I96" i="11"/>
  <c r="J62" i="11"/>
  <c r="J77" i="11"/>
  <c r="K234" i="15"/>
  <c r="K48" i="11"/>
  <c r="J83" i="11"/>
  <c r="J68" i="11"/>
  <c r="J38" i="8" s="1"/>
  <c r="K58" i="11"/>
  <c r="K73" i="11"/>
  <c r="K231" i="15"/>
  <c r="K244" i="15" s="1"/>
  <c r="K45" i="11"/>
  <c r="J81" i="11"/>
  <c r="J66" i="11"/>
  <c r="I97" i="11"/>
  <c r="K237" i="15"/>
  <c r="K51" i="11"/>
  <c r="J80" i="11"/>
  <c r="J65" i="11"/>
  <c r="I53" i="8"/>
  <c r="I198" i="16"/>
  <c r="J59" i="11"/>
  <c r="J74" i="11"/>
  <c r="B487" i="16"/>
  <c r="K67" i="11"/>
  <c r="K82" i="11"/>
  <c r="L82" i="11" s="1"/>
  <c r="K240" i="15"/>
  <c r="K54" i="11"/>
  <c r="K238" i="15"/>
  <c r="K52" i="11"/>
  <c r="J74" i="12"/>
  <c r="J59" i="12"/>
  <c r="K310" i="15"/>
  <c r="K323" i="15" s="1"/>
  <c r="K53" i="12"/>
  <c r="K81" i="12"/>
  <c r="K66" i="12"/>
  <c r="K77" i="12"/>
  <c r="K62" i="12"/>
  <c r="K68" i="12"/>
  <c r="K83" i="12"/>
  <c r="K73" i="12"/>
  <c r="K58" i="12"/>
  <c r="J62" i="12"/>
  <c r="J77" i="12"/>
  <c r="J67" i="12"/>
  <c r="J82" i="12"/>
  <c r="K302" i="15"/>
  <c r="K45" i="12"/>
  <c r="I257" i="16"/>
  <c r="K78" i="13"/>
  <c r="L78" i="13" s="1"/>
  <c r="K63" i="13"/>
  <c r="L63" i="13" s="1"/>
  <c r="K74" i="13"/>
  <c r="K59" i="13"/>
  <c r="L59" i="13" s="1"/>
  <c r="J66" i="13"/>
  <c r="J81" i="13"/>
  <c r="J65" i="13"/>
  <c r="J80" i="13"/>
  <c r="J337" i="16" s="1"/>
  <c r="K380" i="15"/>
  <c r="K52" i="13"/>
  <c r="K62" i="13"/>
  <c r="K77" i="13"/>
  <c r="K382" i="15"/>
  <c r="K395" i="15" s="1"/>
  <c r="K54" i="13"/>
  <c r="K381" i="15"/>
  <c r="K53" i="13"/>
  <c r="K379" i="15"/>
  <c r="K392" i="15" s="1"/>
  <c r="K421" i="15" s="1"/>
  <c r="K51" i="13"/>
  <c r="J67" i="13"/>
  <c r="J82" i="13"/>
  <c r="K73" i="13"/>
  <c r="K58" i="13"/>
  <c r="B381" i="16"/>
  <c r="B458" i="16"/>
  <c r="E381" i="16"/>
  <c r="E458" i="16"/>
  <c r="F381" i="16"/>
  <c r="F458" i="16"/>
  <c r="C487" i="16"/>
  <c r="G396" i="16"/>
  <c r="G473" i="16"/>
  <c r="F396" i="16"/>
  <c r="F473" i="16"/>
  <c r="B396" i="16"/>
  <c r="B473" i="16"/>
  <c r="D381" i="16"/>
  <c r="D458" i="16"/>
  <c r="G381" i="16"/>
  <c r="G458" i="16"/>
  <c r="E396" i="16"/>
  <c r="E473" i="16"/>
  <c r="D14" i="1"/>
  <c r="B14" i="1"/>
  <c r="B13" i="1"/>
  <c r="D13" i="1"/>
  <c r="H469" i="16"/>
  <c r="J128" i="16"/>
  <c r="J65" i="16"/>
  <c r="J89" i="8"/>
  <c r="J98" i="8"/>
  <c r="I234" i="16"/>
  <c r="I176" i="16"/>
  <c r="J190" i="16"/>
  <c r="J242" i="16"/>
  <c r="J246" i="16"/>
  <c r="H381" i="16"/>
  <c r="J132" i="16"/>
  <c r="I348" i="16"/>
  <c r="J75" i="16"/>
  <c r="B410" i="16"/>
  <c r="J301" i="16"/>
  <c r="J311" i="16"/>
  <c r="F410" i="16"/>
  <c r="J69" i="16"/>
  <c r="J74" i="16"/>
  <c r="J183" i="16"/>
  <c r="I175" i="16"/>
  <c r="I363" i="16"/>
  <c r="J73" i="16"/>
  <c r="B395" i="16"/>
  <c r="B380" i="16"/>
  <c r="J187" i="16"/>
  <c r="J250" i="16"/>
  <c r="I112" i="16"/>
  <c r="J191" i="16"/>
  <c r="J243" i="16"/>
  <c r="J7" i="16"/>
  <c r="H410" i="16"/>
  <c r="H487" i="16"/>
  <c r="H406" i="16"/>
  <c r="H483" i="16"/>
  <c r="E496" i="15"/>
  <c r="E234" i="16"/>
  <c r="E410" i="16" s="1"/>
  <c r="L49" i="13"/>
  <c r="C381" i="16"/>
  <c r="C396" i="16"/>
  <c r="L61" i="10"/>
  <c r="J310" i="16"/>
  <c r="L47" i="10"/>
  <c r="K68" i="16"/>
  <c r="L68" i="16" s="1"/>
  <c r="L53" i="11"/>
  <c r="L76" i="10"/>
  <c r="J10" i="16"/>
  <c r="J279" i="16"/>
  <c r="I161" i="16"/>
  <c r="D496" i="15"/>
  <c r="D234" i="16"/>
  <c r="D410" i="16" s="1"/>
  <c r="J15" i="16"/>
  <c r="J16" i="16"/>
  <c r="J133" i="16"/>
  <c r="J127" i="16"/>
  <c r="L45" i="13"/>
  <c r="J325" i="16"/>
  <c r="J14" i="16"/>
  <c r="I98" i="16"/>
  <c r="I147" i="16"/>
  <c r="C410" i="16"/>
  <c r="I293" i="16"/>
  <c r="I220" i="16"/>
  <c r="L67" i="11"/>
  <c r="G406" i="16"/>
  <c r="G483" i="16"/>
  <c r="G496" i="15"/>
  <c r="G234" i="16"/>
  <c r="G410" i="16" s="1"/>
  <c r="J251" i="16"/>
  <c r="J309" i="16"/>
  <c r="J6" i="16"/>
  <c r="I334" i="16"/>
  <c r="I309" i="16"/>
  <c r="I367" i="16" s="1"/>
  <c r="I264" i="16"/>
  <c r="I377" i="16"/>
  <c r="I454" i="16"/>
  <c r="J91" i="10"/>
  <c r="I82" i="15"/>
  <c r="I58" i="16" s="1"/>
  <c r="I81" i="15"/>
  <c r="I57" i="16" s="1"/>
  <c r="I286" i="15"/>
  <c r="I226" i="16" s="1"/>
  <c r="J45" i="15"/>
  <c r="J21" i="16" s="1"/>
  <c r="J60" i="15"/>
  <c r="J36" i="16" s="1"/>
  <c r="J52" i="15"/>
  <c r="J28" i="16" s="1"/>
  <c r="J67" i="15"/>
  <c r="J43" i="16" s="1"/>
  <c r="J53" i="15"/>
  <c r="J29" i="16" s="1"/>
  <c r="J68" i="15"/>
  <c r="J44" i="16" s="1"/>
  <c r="J403" i="15"/>
  <c r="J319" i="16" s="1"/>
  <c r="J418" i="15"/>
  <c r="J334" i="16" s="1"/>
  <c r="J54" i="15"/>
  <c r="J30" i="16" s="1"/>
  <c r="J69" i="15"/>
  <c r="J45" i="16" s="1"/>
  <c r="I83" i="15"/>
  <c r="I59" i="16" s="1"/>
  <c r="J91" i="9"/>
  <c r="J272" i="15"/>
  <c r="J212" i="16" s="1"/>
  <c r="J257" i="15"/>
  <c r="J197" i="16" s="1"/>
  <c r="J399" i="15"/>
  <c r="J315" i="16" s="1"/>
  <c r="J414" i="15"/>
  <c r="J330" i="16" s="1"/>
  <c r="J209" i="15"/>
  <c r="J161" i="16" s="1"/>
  <c r="J194" i="15"/>
  <c r="J146" i="16" s="1"/>
  <c r="J59" i="15"/>
  <c r="J35" i="16" s="1"/>
  <c r="J44" i="15"/>
  <c r="J20" i="16" s="1"/>
  <c r="K92" i="15"/>
  <c r="K105" i="15" s="1"/>
  <c r="K305" i="15"/>
  <c r="K318" i="15" s="1"/>
  <c r="J95" i="12"/>
  <c r="K18" i="15"/>
  <c r="K31" i="15" s="1"/>
  <c r="K376" i="15"/>
  <c r="K389" i="15" s="1"/>
  <c r="K305" i="16" s="1"/>
  <c r="L305" i="16" s="1"/>
  <c r="K25" i="15"/>
  <c r="K38" i="15" s="1"/>
  <c r="K118" i="15"/>
  <c r="K82" i="16" s="1"/>
  <c r="L82" i="16" s="1"/>
  <c r="K133" i="15"/>
  <c r="K97" i="16" s="1"/>
  <c r="L97" i="16" s="1"/>
  <c r="K230" i="15"/>
  <c r="K243" i="15" s="1"/>
  <c r="J147" i="15"/>
  <c r="J111" i="16" s="1"/>
  <c r="K167" i="15"/>
  <c r="K180" i="15" s="1"/>
  <c r="K309" i="15"/>
  <c r="K322" i="15" s="1"/>
  <c r="K351" i="15" s="1"/>
  <c r="L351" i="15" s="1"/>
  <c r="K301" i="15"/>
  <c r="K314" i="15" s="1"/>
  <c r="K372" i="15"/>
  <c r="K385" i="15" s="1"/>
  <c r="K311" i="15"/>
  <c r="K324" i="15" s="1"/>
  <c r="K17" i="15"/>
  <c r="K30" i="15" s="1"/>
  <c r="L47" i="6"/>
  <c r="K162" i="15"/>
  <c r="K175" i="15" s="1"/>
  <c r="L48" i="9"/>
  <c r="K21" i="15"/>
  <c r="K34" i="15" s="1"/>
  <c r="K27" i="15"/>
  <c r="K40" i="15" s="1"/>
  <c r="K26" i="15"/>
  <c r="K39" i="15" s="1"/>
  <c r="J513" i="15"/>
  <c r="J509" i="15"/>
  <c r="J189" i="15"/>
  <c r="H492" i="15"/>
  <c r="I464" i="15"/>
  <c r="I478" i="15"/>
  <c r="C496" i="15"/>
  <c r="B496" i="15"/>
  <c r="B495" i="15"/>
  <c r="F496" i="15"/>
  <c r="H496" i="15"/>
  <c r="G448" i="15"/>
  <c r="G492" i="15"/>
  <c r="I74" i="15"/>
  <c r="I50" i="16" s="1"/>
  <c r="H448" i="15"/>
  <c r="F452" i="15"/>
  <c r="C452" i="15"/>
  <c r="H452" i="15"/>
  <c r="B452" i="15"/>
  <c r="D452" i="15"/>
  <c r="G452" i="15"/>
  <c r="E452" i="15"/>
  <c r="J97" i="13"/>
  <c r="J424" i="15"/>
  <c r="J340" i="16" s="1"/>
  <c r="J88" i="9"/>
  <c r="L59" i="9"/>
  <c r="J87" i="13"/>
  <c r="J336" i="15"/>
  <c r="J365" i="15" s="1"/>
  <c r="J87" i="12"/>
  <c r="J97" i="12"/>
  <c r="I407" i="15"/>
  <c r="I422" i="15"/>
  <c r="J408" i="15"/>
  <c r="J324" i="16" s="1"/>
  <c r="J423" i="15"/>
  <c r="J339" i="16" s="1"/>
  <c r="J407" i="15"/>
  <c r="J323" i="16" s="1"/>
  <c r="J422" i="15"/>
  <c r="J338" i="16" s="1"/>
  <c r="K409" i="15"/>
  <c r="K424" i="15"/>
  <c r="J95" i="6"/>
  <c r="K386" i="15"/>
  <c r="K415" i="15" s="1"/>
  <c r="K331" i="16" s="1"/>
  <c r="L331" i="16" s="1"/>
  <c r="K390" i="15"/>
  <c r="K306" i="16" s="1"/>
  <c r="L306" i="16" s="1"/>
  <c r="J429" i="15"/>
  <c r="J345" i="16" s="1"/>
  <c r="J433" i="15"/>
  <c r="J349" i="16" s="1"/>
  <c r="K394" i="15"/>
  <c r="I435" i="15"/>
  <c r="I351" i="16" s="1"/>
  <c r="C435" i="15"/>
  <c r="C351" i="16" s="1"/>
  <c r="I361" i="15"/>
  <c r="I289" i="16" s="1"/>
  <c r="H435" i="15"/>
  <c r="H351" i="16" s="1"/>
  <c r="E435" i="15"/>
  <c r="E351" i="16" s="1"/>
  <c r="G435" i="15"/>
  <c r="G351" i="16" s="1"/>
  <c r="D435" i="15"/>
  <c r="D351" i="16" s="1"/>
  <c r="J435" i="15"/>
  <c r="F435" i="15"/>
  <c r="F351" i="16" s="1"/>
  <c r="B435" i="15"/>
  <c r="J332" i="15"/>
  <c r="J347" i="15"/>
  <c r="J275" i="16" s="1"/>
  <c r="J337" i="15"/>
  <c r="J265" i="16" s="1"/>
  <c r="J352" i="15"/>
  <c r="J280" i="16" s="1"/>
  <c r="J329" i="15"/>
  <c r="J344" i="15"/>
  <c r="J272" i="16" s="1"/>
  <c r="J74" i="8"/>
  <c r="J82" i="8"/>
  <c r="I366" i="15"/>
  <c r="I294" i="16" s="1"/>
  <c r="K315" i="15"/>
  <c r="I358" i="15"/>
  <c r="I286" i="16" s="1"/>
  <c r="I293" i="15"/>
  <c r="J83" i="8"/>
  <c r="I290" i="15"/>
  <c r="I230" i="16" s="1"/>
  <c r="J279" i="15"/>
  <c r="J264" i="15"/>
  <c r="J88" i="11"/>
  <c r="K250" i="15"/>
  <c r="J258" i="15"/>
  <c r="J198" i="16" s="1"/>
  <c r="J273" i="15"/>
  <c r="J213" i="16" s="1"/>
  <c r="K247" i="15"/>
  <c r="J276" i="15"/>
  <c r="J216" i="16" s="1"/>
  <c r="J261" i="15"/>
  <c r="I287" i="15"/>
  <c r="I227" i="16" s="1"/>
  <c r="J119" i="15"/>
  <c r="J83" i="16" s="1"/>
  <c r="J134" i="15"/>
  <c r="J98" i="16" s="1"/>
  <c r="I219" i="15"/>
  <c r="I171" i="16" s="1"/>
  <c r="J190" i="15"/>
  <c r="J219" i="15" s="1"/>
  <c r="J204" i="15"/>
  <c r="J156" i="16" s="1"/>
  <c r="K176" i="15"/>
  <c r="I153" i="15"/>
  <c r="I117" i="16" s="1"/>
  <c r="I152" i="15"/>
  <c r="I116" i="16" s="1"/>
  <c r="J195" i="15"/>
  <c r="J147" i="16" s="1"/>
  <c r="J210" i="15"/>
  <c r="K181" i="15"/>
  <c r="L181" i="15" s="1"/>
  <c r="J115" i="15"/>
  <c r="J130" i="15"/>
  <c r="J94" i="16" s="1"/>
  <c r="J124" i="15"/>
  <c r="J88" i="16" s="1"/>
  <c r="J139" i="15"/>
  <c r="J125" i="15"/>
  <c r="J89" i="16" s="1"/>
  <c r="J140" i="15"/>
  <c r="J104" i="16" s="1"/>
  <c r="J123" i="15"/>
  <c r="J87" i="16" s="1"/>
  <c r="J138" i="15"/>
  <c r="J102" i="16" s="1"/>
  <c r="K110" i="15"/>
  <c r="K124" i="15" s="1"/>
  <c r="K111" i="15"/>
  <c r="K101" i="15"/>
  <c r="J81" i="8"/>
  <c r="K251" i="15"/>
  <c r="J280" i="15"/>
  <c r="J220" i="16" s="1"/>
  <c r="J265" i="15"/>
  <c r="J205" i="16" s="1"/>
  <c r="I218" i="15"/>
  <c r="I170" i="16" s="1"/>
  <c r="J95" i="10"/>
  <c r="I77" i="15"/>
  <c r="I53" i="16" s="1"/>
  <c r="L67" i="9"/>
  <c r="I73" i="15"/>
  <c r="J96" i="9"/>
  <c r="J97" i="9"/>
  <c r="J48" i="15"/>
  <c r="J24" i="16" s="1"/>
  <c r="J63" i="15"/>
  <c r="J39" i="16" s="1"/>
  <c r="J87" i="9"/>
  <c r="J95" i="9"/>
  <c r="L66" i="9"/>
  <c r="K90" i="10"/>
  <c r="L58" i="9"/>
  <c r="J96" i="12"/>
  <c r="J95" i="13"/>
  <c r="K88" i="13"/>
  <c r="L74" i="13"/>
  <c r="J91" i="12"/>
  <c r="I61" i="8"/>
  <c r="J73" i="8"/>
  <c r="J91" i="13"/>
  <c r="J43" i="8"/>
  <c r="J77" i="8"/>
  <c r="J87" i="11"/>
  <c r="J97" i="10"/>
  <c r="J95" i="11"/>
  <c r="J51" i="8"/>
  <c r="I65" i="8"/>
  <c r="J36" i="8"/>
  <c r="J96" i="13"/>
  <c r="F30" i="1" a="1"/>
  <c r="C30" i="1" a="1"/>
  <c r="B30" i="1" a="1"/>
  <c r="G26" i="1" a="1"/>
  <c r="C13" i="1" a="1"/>
  <c r="D30" i="1" a="1"/>
  <c r="H30" i="1" a="1"/>
  <c r="G30" i="1" a="1"/>
  <c r="B29" i="1" a="1"/>
  <c r="E30" i="1" a="1"/>
  <c r="H26" i="1" a="1"/>
  <c r="K89" i="8" a="1"/>
  <c r="K98" i="8" a="1"/>
  <c r="J97" i="8" a="1"/>
  <c r="J99" i="8" a="1"/>
  <c r="J93" i="8" a="1"/>
  <c r="J53" i="8" l="1"/>
  <c r="I67" i="8"/>
  <c r="I57" i="8"/>
  <c r="J97" i="6"/>
  <c r="J96" i="10"/>
  <c r="J322" i="16"/>
  <c r="J88" i="12"/>
  <c r="I49" i="16"/>
  <c r="J32" i="8"/>
  <c r="I66" i="8"/>
  <c r="I233" i="16"/>
  <c r="J260" i="16"/>
  <c r="J94" i="11"/>
  <c r="J103" i="16"/>
  <c r="J201" i="16"/>
  <c r="J97" i="11"/>
  <c r="J90" i="6"/>
  <c r="J96" i="6"/>
  <c r="J204" i="16"/>
  <c r="J47" i="8"/>
  <c r="J91" i="6"/>
  <c r="J219" i="16"/>
  <c r="J257" i="16"/>
  <c r="J162" i="16"/>
  <c r="K92" i="13"/>
  <c r="J52" i="8"/>
  <c r="J87" i="6"/>
  <c r="J141" i="16"/>
  <c r="K96" i="11"/>
  <c r="L96" i="11" s="1"/>
  <c r="J87" i="10"/>
  <c r="K73" i="10"/>
  <c r="K58" i="10"/>
  <c r="L58" i="10" s="1"/>
  <c r="K68" i="10"/>
  <c r="K83" i="10"/>
  <c r="K82" i="10"/>
  <c r="L82" i="10" s="1"/>
  <c r="K67" i="10"/>
  <c r="L67" i="10" s="1"/>
  <c r="J37" i="8"/>
  <c r="K66" i="10"/>
  <c r="L66" i="10" s="1"/>
  <c r="K81" i="10"/>
  <c r="J79" i="16"/>
  <c r="K83" i="6"/>
  <c r="L83" i="6" s="1"/>
  <c r="K68" i="6"/>
  <c r="L68" i="6" s="1"/>
  <c r="K77" i="6"/>
  <c r="L77" i="6" s="1"/>
  <c r="K62" i="6"/>
  <c r="L62" i="6" s="1"/>
  <c r="J28" i="8"/>
  <c r="J57" i="8" s="1"/>
  <c r="K67" i="6"/>
  <c r="L67" i="6" s="1"/>
  <c r="K82" i="6"/>
  <c r="K73" i="6"/>
  <c r="K58" i="6"/>
  <c r="L58" i="6" s="1"/>
  <c r="J93" i="8"/>
  <c r="J99" i="8"/>
  <c r="J97" i="8"/>
  <c r="K83" i="11"/>
  <c r="L83" i="11" s="1"/>
  <c r="K68" i="11"/>
  <c r="L68" i="11" s="1"/>
  <c r="K74" i="11"/>
  <c r="L74" i="11" s="1"/>
  <c r="K59" i="11"/>
  <c r="K65" i="11"/>
  <c r="L65" i="11" s="1"/>
  <c r="K80" i="11"/>
  <c r="L80" i="11" s="1"/>
  <c r="J91" i="11"/>
  <c r="K66" i="11"/>
  <c r="K81" i="11"/>
  <c r="K62" i="11"/>
  <c r="K77" i="11"/>
  <c r="G487" i="16"/>
  <c r="K82" i="12"/>
  <c r="K67" i="12"/>
  <c r="L67" i="12" s="1"/>
  <c r="K59" i="12"/>
  <c r="L59" i="12" s="1"/>
  <c r="K74" i="12"/>
  <c r="L74" i="12" s="1"/>
  <c r="K82" i="13"/>
  <c r="K67" i="13"/>
  <c r="L67" i="13" s="1"/>
  <c r="J94" i="13"/>
  <c r="K68" i="13"/>
  <c r="K83" i="13"/>
  <c r="L83" i="13" s="1"/>
  <c r="K65" i="13"/>
  <c r="L65" i="13" s="1"/>
  <c r="K80" i="13"/>
  <c r="L80" i="13" s="1"/>
  <c r="K66" i="13"/>
  <c r="L66" i="13" s="1"/>
  <c r="K81" i="13"/>
  <c r="L81" i="13" s="1"/>
  <c r="E487" i="16"/>
  <c r="D487" i="16"/>
  <c r="F30" i="1"/>
  <c r="E30" i="1"/>
  <c r="C13" i="1"/>
  <c r="B29" i="1"/>
  <c r="H30" i="1"/>
  <c r="B30" i="1"/>
  <c r="G30" i="1"/>
  <c r="H26" i="1"/>
  <c r="D30" i="1"/>
  <c r="C30" i="1"/>
  <c r="G26" i="1"/>
  <c r="I469" i="16"/>
  <c r="K89" i="8"/>
  <c r="L89" i="8" s="1"/>
  <c r="K98" i="8"/>
  <c r="J171" i="16"/>
  <c r="K190" i="16"/>
  <c r="L190" i="16" s="1"/>
  <c r="K183" i="16"/>
  <c r="L183" i="16" s="1"/>
  <c r="J363" i="16"/>
  <c r="B451" i="15"/>
  <c r="B351" i="16"/>
  <c r="I392" i="16"/>
  <c r="I483" i="16"/>
  <c r="I406" i="16"/>
  <c r="J396" i="16"/>
  <c r="J473" i="16"/>
  <c r="J392" i="16"/>
  <c r="J469" i="16"/>
  <c r="L54" i="10"/>
  <c r="K75" i="16"/>
  <c r="L75" i="16" s="1"/>
  <c r="L62" i="13"/>
  <c r="K65" i="16"/>
  <c r="L83" i="9"/>
  <c r="L53" i="13"/>
  <c r="K310" i="16"/>
  <c r="L310" i="16" s="1"/>
  <c r="L54" i="12"/>
  <c r="K252" i="16"/>
  <c r="L252" i="16" s="1"/>
  <c r="L58" i="12"/>
  <c r="K10" i="16"/>
  <c r="L10" i="16" s="1"/>
  <c r="L44" i="12"/>
  <c r="K242" i="16"/>
  <c r="K14" i="16"/>
  <c r="L14" i="16" s="1"/>
  <c r="L52" i="13"/>
  <c r="I482" i="15"/>
  <c r="I338" i="16"/>
  <c r="L44" i="6"/>
  <c r="K302" i="16"/>
  <c r="L302" i="16" s="1"/>
  <c r="L52" i="11"/>
  <c r="K191" i="16"/>
  <c r="L191" i="16" s="1"/>
  <c r="L54" i="11"/>
  <c r="I468" i="15"/>
  <c r="I323" i="16"/>
  <c r="I381" i="16" s="1"/>
  <c r="L73" i="13"/>
  <c r="L52" i="12"/>
  <c r="K250" i="16"/>
  <c r="L250" i="16" s="1"/>
  <c r="K7" i="16"/>
  <c r="L7" i="16" s="1"/>
  <c r="L77" i="13"/>
  <c r="L92" i="13"/>
  <c r="L45" i="11"/>
  <c r="K184" i="16"/>
  <c r="L184" i="16" s="1"/>
  <c r="L53" i="12"/>
  <c r="K251" i="16"/>
  <c r="L251" i="16" s="1"/>
  <c r="L48" i="6"/>
  <c r="K128" i="16"/>
  <c r="L128" i="16" s="1"/>
  <c r="L77" i="11"/>
  <c r="L52" i="10"/>
  <c r="K73" i="16"/>
  <c r="L73" i="16" s="1"/>
  <c r="J223" i="15"/>
  <c r="J175" i="16" s="1"/>
  <c r="L48" i="10"/>
  <c r="K69" i="16"/>
  <c r="L69" i="16" s="1"/>
  <c r="L77" i="12"/>
  <c r="L66" i="12"/>
  <c r="L44" i="13"/>
  <c r="K301" i="16"/>
  <c r="K127" i="16"/>
  <c r="J293" i="16"/>
  <c r="L58" i="11"/>
  <c r="L53" i="10"/>
  <c r="K74" i="16"/>
  <c r="L74" i="16" s="1"/>
  <c r="L90" i="10"/>
  <c r="L73" i="9"/>
  <c r="L48" i="12"/>
  <c r="K246" i="16"/>
  <c r="L246" i="16" s="1"/>
  <c r="L52" i="6"/>
  <c r="K132" i="16"/>
  <c r="L132" i="16" s="1"/>
  <c r="L58" i="13"/>
  <c r="K6" i="16"/>
  <c r="L6" i="16" s="1"/>
  <c r="J351" i="16"/>
  <c r="J367" i="16"/>
  <c r="J142" i="16"/>
  <c r="J377" i="16" s="1"/>
  <c r="L48" i="11"/>
  <c r="K187" i="16"/>
  <c r="L187" i="16" s="1"/>
  <c r="L62" i="12"/>
  <c r="L74" i="9"/>
  <c r="K325" i="16"/>
  <c r="L325" i="16" s="1"/>
  <c r="J264" i="16"/>
  <c r="J381" i="16" s="1"/>
  <c r="L81" i="9"/>
  <c r="L45" i="12"/>
  <c r="K243" i="16"/>
  <c r="L243" i="16" s="1"/>
  <c r="L54" i="6"/>
  <c r="L81" i="12"/>
  <c r="K279" i="16"/>
  <c r="L279" i="16" s="1"/>
  <c r="K15" i="16"/>
  <c r="L15" i="16" s="1"/>
  <c r="L54" i="13"/>
  <c r="K311" i="16"/>
  <c r="L311" i="16" s="1"/>
  <c r="L51" i="13"/>
  <c r="K308" i="16"/>
  <c r="L308" i="16" s="1"/>
  <c r="L53" i="6"/>
  <c r="K133" i="16"/>
  <c r="L133" i="16" s="1"/>
  <c r="L88" i="13"/>
  <c r="L77" i="9"/>
  <c r="L61" i="6"/>
  <c r="L62" i="10"/>
  <c r="L66" i="6"/>
  <c r="L68" i="12"/>
  <c r="K16" i="16"/>
  <c r="L16" i="16" s="1"/>
  <c r="J454" i="16"/>
  <c r="J82" i="15"/>
  <c r="J58" i="16" s="1"/>
  <c r="J468" i="15"/>
  <c r="J432" i="15"/>
  <c r="J348" i="16" s="1"/>
  <c r="J81" i="15"/>
  <c r="J57" i="16" s="1"/>
  <c r="J286" i="15"/>
  <c r="J226" i="16" s="1"/>
  <c r="J74" i="15"/>
  <c r="J50" i="16" s="1"/>
  <c r="K119" i="15"/>
  <c r="L119" i="15" s="1"/>
  <c r="L105" i="15"/>
  <c r="K134" i="15"/>
  <c r="L134" i="15" s="1"/>
  <c r="J83" i="15"/>
  <c r="J59" i="16" s="1"/>
  <c r="K147" i="15"/>
  <c r="K111" i="16" s="1"/>
  <c r="L30" i="15"/>
  <c r="K44" i="15"/>
  <c r="L44" i="15" s="1"/>
  <c r="K59" i="15"/>
  <c r="K35" i="16" s="1"/>
  <c r="L38" i="15"/>
  <c r="K52" i="15"/>
  <c r="K67" i="15"/>
  <c r="K43" i="16" s="1"/>
  <c r="L40" i="15"/>
  <c r="K54" i="15"/>
  <c r="K69" i="15"/>
  <c r="K45" i="16" s="1"/>
  <c r="K399" i="15"/>
  <c r="K315" i="16" s="1"/>
  <c r="K414" i="15"/>
  <c r="K330" i="16" s="1"/>
  <c r="K403" i="15"/>
  <c r="L403" i="15" s="1"/>
  <c r="K418" i="15"/>
  <c r="L418" i="15" s="1"/>
  <c r="L389" i="15"/>
  <c r="K45" i="15"/>
  <c r="K60" i="15"/>
  <c r="K36" i="16" s="1"/>
  <c r="L31" i="15"/>
  <c r="K53" i="15"/>
  <c r="K68" i="15"/>
  <c r="K44" i="16" s="1"/>
  <c r="L39" i="15"/>
  <c r="K332" i="15"/>
  <c r="L332" i="15" s="1"/>
  <c r="K347" i="15"/>
  <c r="L347" i="15" s="1"/>
  <c r="L318" i="15"/>
  <c r="L243" i="15"/>
  <c r="K257" i="15"/>
  <c r="L257" i="15" s="1"/>
  <c r="K272" i="15"/>
  <c r="L272" i="15" s="1"/>
  <c r="L180" i="15"/>
  <c r="K194" i="15"/>
  <c r="L194" i="15" s="1"/>
  <c r="K209" i="15"/>
  <c r="K161" i="16" s="1"/>
  <c r="L161" i="16" s="1"/>
  <c r="L45" i="9"/>
  <c r="L54" i="9"/>
  <c r="J73" i="15"/>
  <c r="J49" i="16" s="1"/>
  <c r="L44" i="9"/>
  <c r="I492" i="15"/>
  <c r="K509" i="15"/>
  <c r="K189" i="15"/>
  <c r="K141" i="16" s="1"/>
  <c r="K419" i="15"/>
  <c r="K335" i="16" s="1"/>
  <c r="L335" i="16" s="1"/>
  <c r="J218" i="15"/>
  <c r="J170" i="16" s="1"/>
  <c r="J478" i="15"/>
  <c r="J482" i="15"/>
  <c r="J464" i="15"/>
  <c r="I448" i="15"/>
  <c r="K87" i="12"/>
  <c r="K88" i="9"/>
  <c r="K87" i="13"/>
  <c r="L73" i="12"/>
  <c r="K97" i="12"/>
  <c r="L83" i="12"/>
  <c r="K95" i="6"/>
  <c r="L81" i="6"/>
  <c r="K95" i="12"/>
  <c r="K336" i="15"/>
  <c r="L336" i="15" s="1"/>
  <c r="L322" i="15"/>
  <c r="I436" i="15"/>
  <c r="I352" i="16" s="1"/>
  <c r="I410" i="16" s="1"/>
  <c r="K97" i="6"/>
  <c r="K91" i="12"/>
  <c r="K408" i="15"/>
  <c r="K324" i="16" s="1"/>
  <c r="L324" i="16" s="1"/>
  <c r="K423" i="15"/>
  <c r="L392" i="15"/>
  <c r="K406" i="15"/>
  <c r="K400" i="15"/>
  <c r="L386" i="15"/>
  <c r="L390" i="15"/>
  <c r="K404" i="15"/>
  <c r="K320" i="16" s="1"/>
  <c r="L320" i="16" s="1"/>
  <c r="L421" i="15"/>
  <c r="K393" i="15"/>
  <c r="K422" i="15" s="1"/>
  <c r="L415" i="15"/>
  <c r="J436" i="15"/>
  <c r="J352" i="16" s="1"/>
  <c r="J366" i="15"/>
  <c r="J294" i="16" s="1"/>
  <c r="J358" i="15"/>
  <c r="J286" i="16" s="1"/>
  <c r="K337" i="15"/>
  <c r="L337" i="15" s="1"/>
  <c r="K352" i="15"/>
  <c r="K280" i="16" s="1"/>
  <c r="L280" i="16" s="1"/>
  <c r="K329" i="15"/>
  <c r="K344" i="15"/>
  <c r="K272" i="16" s="1"/>
  <c r="K82" i="8"/>
  <c r="L82" i="8" s="1"/>
  <c r="J361" i="15"/>
  <c r="J289" i="16" s="1"/>
  <c r="L323" i="15"/>
  <c r="K91" i="10"/>
  <c r="L77" i="10"/>
  <c r="J148" i="15"/>
  <c r="J112" i="16" s="1"/>
  <c r="K90" i="6"/>
  <c r="J293" i="15"/>
  <c r="J233" i="16" s="1"/>
  <c r="K74" i="8"/>
  <c r="L74" i="8" s="1"/>
  <c r="K264" i="15"/>
  <c r="K279" i="15"/>
  <c r="L250" i="15"/>
  <c r="K258" i="15"/>
  <c r="L258" i="15" s="1"/>
  <c r="K273" i="15"/>
  <c r="L273" i="15" s="1"/>
  <c r="J287" i="15"/>
  <c r="J227" i="16" s="1"/>
  <c r="J290" i="15"/>
  <c r="K276" i="15"/>
  <c r="K216" i="16" s="1"/>
  <c r="L216" i="16" s="1"/>
  <c r="K261" i="15"/>
  <c r="L261" i="15" s="1"/>
  <c r="L247" i="15"/>
  <c r="J224" i="15"/>
  <c r="J176" i="16" s="1"/>
  <c r="L244" i="15"/>
  <c r="L76" i="6"/>
  <c r="K204" i="15"/>
  <c r="K156" i="16" s="1"/>
  <c r="K190" i="15"/>
  <c r="L190" i="15" s="1"/>
  <c r="K205" i="15"/>
  <c r="L205" i="15" s="1"/>
  <c r="L176" i="15"/>
  <c r="K210" i="15"/>
  <c r="L210" i="15" s="1"/>
  <c r="J152" i="15"/>
  <c r="J116" i="16" s="1"/>
  <c r="K195" i="15"/>
  <c r="L195" i="15" s="1"/>
  <c r="L124" i="15"/>
  <c r="J153" i="15"/>
  <c r="J117" i="16" s="1"/>
  <c r="K138" i="15"/>
  <c r="L138" i="15" s="1"/>
  <c r="K123" i="15"/>
  <c r="L123" i="15" s="1"/>
  <c r="L109" i="15"/>
  <c r="K115" i="15"/>
  <c r="K130" i="15"/>
  <c r="K94" i="16" s="1"/>
  <c r="K140" i="15"/>
  <c r="K104" i="16" s="1"/>
  <c r="L104" i="16" s="1"/>
  <c r="K125" i="15"/>
  <c r="K89" i="16" s="1"/>
  <c r="L89" i="16" s="1"/>
  <c r="L110" i="15"/>
  <c r="K139" i="15"/>
  <c r="K153" i="15" s="1"/>
  <c r="K81" i="8"/>
  <c r="L81" i="8" s="1"/>
  <c r="J294" i="15"/>
  <c r="J234" i="16" s="1"/>
  <c r="K265" i="15"/>
  <c r="L265" i="15" s="1"/>
  <c r="K280" i="15"/>
  <c r="L251" i="15"/>
  <c r="K95" i="10"/>
  <c r="L81" i="10"/>
  <c r="L53" i="9"/>
  <c r="K96" i="9"/>
  <c r="L82" i="9"/>
  <c r="J77" i="15"/>
  <c r="J53" i="16" s="1"/>
  <c r="J67" i="8"/>
  <c r="K97" i="9"/>
  <c r="L34" i="15"/>
  <c r="K63" i="15"/>
  <c r="K39" i="16" s="1"/>
  <c r="K48" i="15"/>
  <c r="K83" i="8"/>
  <c r="L83" i="8" s="1"/>
  <c r="K97" i="11"/>
  <c r="K91" i="9"/>
  <c r="K87" i="9"/>
  <c r="L62" i="9"/>
  <c r="K95" i="9"/>
  <c r="K73" i="8"/>
  <c r="L73" i="8" s="1"/>
  <c r="L52" i="9"/>
  <c r="K91" i="11"/>
  <c r="L62" i="11"/>
  <c r="L82" i="12"/>
  <c r="J61" i="8"/>
  <c r="L73" i="11"/>
  <c r="K97" i="10"/>
  <c r="K32" i="8"/>
  <c r="L32" i="8" s="1"/>
  <c r="K87" i="11"/>
  <c r="L51" i="11"/>
  <c r="L83" i="10"/>
  <c r="L44" i="11"/>
  <c r="K91" i="13"/>
  <c r="L48" i="13"/>
  <c r="K77" i="8"/>
  <c r="L77" i="8" s="1"/>
  <c r="L73" i="10"/>
  <c r="L44" i="10"/>
  <c r="L68" i="10"/>
  <c r="J65" i="8"/>
  <c r="L66" i="11"/>
  <c r="K36" i="8"/>
  <c r="L82" i="6"/>
  <c r="K96" i="6"/>
  <c r="C14" i="1" a="1"/>
  <c r="I26" i="1" a="1"/>
  <c r="K99" i="8" a="1"/>
  <c r="K97" i="8" a="1"/>
  <c r="K93" i="8" a="1"/>
  <c r="K340" i="16" l="1"/>
  <c r="L340" i="16" s="1"/>
  <c r="K97" i="13"/>
  <c r="K88" i="11"/>
  <c r="L88" i="11" s="1"/>
  <c r="K47" i="8"/>
  <c r="L47" i="8" s="1"/>
  <c r="K257" i="16"/>
  <c r="K337" i="16"/>
  <c r="L337" i="16" s="1"/>
  <c r="K91" i="6"/>
  <c r="K88" i="12"/>
  <c r="L88" i="12" s="1"/>
  <c r="K96" i="13"/>
  <c r="K95" i="11"/>
  <c r="J66" i="8"/>
  <c r="L81" i="11"/>
  <c r="K52" i="8"/>
  <c r="K51" i="8"/>
  <c r="L51" i="8" s="1"/>
  <c r="K338" i="16"/>
  <c r="L338" i="16" s="1"/>
  <c r="K339" i="16"/>
  <c r="L339" i="16" s="1"/>
  <c r="L82" i="13"/>
  <c r="K53" i="8"/>
  <c r="L53" i="8" s="1"/>
  <c r="K220" i="16"/>
  <c r="L220" i="16" s="1"/>
  <c r="L68" i="13"/>
  <c r="K87" i="10"/>
  <c r="L59" i="11"/>
  <c r="K28" i="8"/>
  <c r="L28" i="8" s="1"/>
  <c r="K79" i="16"/>
  <c r="L79" i="16" s="1"/>
  <c r="K95" i="13"/>
  <c r="L95" i="13" s="1"/>
  <c r="K38" i="8"/>
  <c r="L38" i="8" s="1"/>
  <c r="K96" i="12"/>
  <c r="L96" i="12" s="1"/>
  <c r="K43" i="8"/>
  <c r="L43" i="8" s="1"/>
  <c r="K37" i="8"/>
  <c r="L37" i="8" s="1"/>
  <c r="K96" i="10"/>
  <c r="L96" i="10" s="1"/>
  <c r="K88" i="16"/>
  <c r="L88" i="16" s="1"/>
  <c r="K87" i="6"/>
  <c r="L87" i="6" s="1"/>
  <c r="L73" i="6"/>
  <c r="K93" i="8"/>
  <c r="L93" i="8" s="1"/>
  <c r="K97" i="8"/>
  <c r="L97" i="8" s="1"/>
  <c r="K99" i="8"/>
  <c r="L99" i="8" s="1"/>
  <c r="K219" i="16"/>
  <c r="L219" i="16" s="1"/>
  <c r="K94" i="11"/>
  <c r="K204" i="16"/>
  <c r="L204" i="16" s="1"/>
  <c r="J230" i="16"/>
  <c r="J406" i="16" s="1"/>
  <c r="K94" i="13"/>
  <c r="L94" i="13" s="1"/>
  <c r="C14" i="1"/>
  <c r="I26" i="1"/>
  <c r="B409" i="16"/>
  <c r="B486" i="16"/>
  <c r="I458" i="16"/>
  <c r="I396" i="16"/>
  <c r="I473" i="16"/>
  <c r="I487" i="16"/>
  <c r="J458" i="16"/>
  <c r="K147" i="16"/>
  <c r="L147" i="16" s="1"/>
  <c r="J410" i="16"/>
  <c r="J487" i="16"/>
  <c r="L94" i="16"/>
  <c r="L330" i="16"/>
  <c r="L315" i="16"/>
  <c r="L96" i="6"/>
  <c r="L97" i="11"/>
  <c r="L400" i="15"/>
  <c r="K316" i="16"/>
  <c r="L316" i="16" s="1"/>
  <c r="K146" i="16"/>
  <c r="L146" i="16" s="1"/>
  <c r="K260" i="16"/>
  <c r="L260" i="16" s="1"/>
  <c r="L95" i="10"/>
  <c r="L97" i="10"/>
  <c r="K334" i="16"/>
  <c r="L334" i="16" s="1"/>
  <c r="K103" i="16"/>
  <c r="L103" i="16" s="1"/>
  <c r="K309" i="16"/>
  <c r="L309" i="16" s="1"/>
  <c r="L406" i="15"/>
  <c r="K322" i="16"/>
  <c r="L322" i="16" s="1"/>
  <c r="L95" i="9"/>
  <c r="L96" i="9"/>
  <c r="L95" i="12"/>
  <c r="L88" i="9"/>
  <c r="L65" i="16"/>
  <c r="L87" i="13"/>
  <c r="L95" i="11"/>
  <c r="L87" i="12"/>
  <c r="K197" i="16"/>
  <c r="L301" i="16"/>
  <c r="K212" i="16"/>
  <c r="K319" i="16"/>
  <c r="L319" i="16" s="1"/>
  <c r="L91" i="13"/>
  <c r="L94" i="11"/>
  <c r="L90" i="6"/>
  <c r="L95" i="6"/>
  <c r="K83" i="15"/>
  <c r="K59" i="16" s="1"/>
  <c r="L97" i="13"/>
  <c r="K83" i="16"/>
  <c r="L83" i="16" s="1"/>
  <c r="K102" i="16"/>
  <c r="L102" i="16" s="1"/>
  <c r="K213" i="16"/>
  <c r="L213" i="16" s="1"/>
  <c r="K264" i="16"/>
  <c r="L264" i="16" s="1"/>
  <c r="K205" i="16"/>
  <c r="L205" i="16" s="1"/>
  <c r="K198" i="16"/>
  <c r="L198" i="16" s="1"/>
  <c r="L242" i="16"/>
  <c r="K162" i="16"/>
  <c r="L162" i="16" s="1"/>
  <c r="L91" i="12"/>
  <c r="L97" i="6"/>
  <c r="L97" i="12"/>
  <c r="K87" i="16"/>
  <c r="L87" i="16" s="1"/>
  <c r="K201" i="16"/>
  <c r="L201" i="16" s="1"/>
  <c r="L91" i="11"/>
  <c r="L91" i="9"/>
  <c r="L91" i="10"/>
  <c r="K142" i="16"/>
  <c r="L142" i="16" s="1"/>
  <c r="K275" i="16"/>
  <c r="L275" i="16" s="1"/>
  <c r="K265" i="16"/>
  <c r="L265" i="16" s="1"/>
  <c r="K157" i="16"/>
  <c r="L157" i="16" s="1"/>
  <c r="K363" i="16"/>
  <c r="L363" i="16" s="1"/>
  <c r="K98" i="16"/>
  <c r="L98" i="16" s="1"/>
  <c r="K223" i="15"/>
  <c r="K175" i="16" s="1"/>
  <c r="L175" i="16" s="1"/>
  <c r="K21" i="16"/>
  <c r="K28" i="16"/>
  <c r="L43" i="16"/>
  <c r="K24" i="16"/>
  <c r="K29" i="16"/>
  <c r="K20" i="16"/>
  <c r="L44" i="16"/>
  <c r="L68" i="15"/>
  <c r="L35" i="16"/>
  <c r="K30" i="16"/>
  <c r="K148" i="15"/>
  <c r="K112" i="16" s="1"/>
  <c r="L112" i="16" s="1"/>
  <c r="L54" i="15"/>
  <c r="L67" i="15"/>
  <c r="L53" i="15"/>
  <c r="L69" i="15"/>
  <c r="L59" i="15"/>
  <c r="K81" i="15"/>
  <c r="L209" i="15"/>
  <c r="L60" i="15"/>
  <c r="K286" i="15"/>
  <c r="K226" i="16" s="1"/>
  <c r="L226" i="16" s="1"/>
  <c r="K361" i="15"/>
  <c r="K289" i="16" s="1"/>
  <c r="L289" i="16" s="1"/>
  <c r="K73" i="15"/>
  <c r="K49" i="16" s="1"/>
  <c r="K82" i="15"/>
  <c r="L52" i="15"/>
  <c r="K74" i="15"/>
  <c r="K50" i="16" s="1"/>
  <c r="K432" i="15"/>
  <c r="K348" i="16" s="1"/>
  <c r="L348" i="16" s="1"/>
  <c r="L45" i="15"/>
  <c r="K218" i="15"/>
  <c r="K170" i="16" s="1"/>
  <c r="L419" i="15"/>
  <c r="K513" i="15"/>
  <c r="K464" i="15"/>
  <c r="K478" i="15"/>
  <c r="K482" i="15"/>
  <c r="I452" i="15"/>
  <c r="I496" i="15"/>
  <c r="J496" i="15"/>
  <c r="L404" i="15"/>
  <c r="L264" i="15"/>
  <c r="J492" i="15"/>
  <c r="J448" i="15"/>
  <c r="J452" i="15"/>
  <c r="K365" i="15"/>
  <c r="K293" i="16" s="1"/>
  <c r="L293" i="16" s="1"/>
  <c r="K429" i="15"/>
  <c r="K345" i="16" s="1"/>
  <c r="L345" i="16" s="1"/>
  <c r="L393" i="15"/>
  <c r="K407" i="15"/>
  <c r="K435" i="15"/>
  <c r="K433" i="15"/>
  <c r="K349" i="16" s="1"/>
  <c r="L349" i="16" s="1"/>
  <c r="L422" i="15"/>
  <c r="K358" i="15"/>
  <c r="K366" i="15"/>
  <c r="L352" i="15"/>
  <c r="K290" i="15"/>
  <c r="K230" i="16" s="1"/>
  <c r="K293" i="15"/>
  <c r="K287" i="15"/>
  <c r="L279" i="15"/>
  <c r="L276" i="15"/>
  <c r="K219" i="15"/>
  <c r="K224" i="15"/>
  <c r="K176" i="16" s="1"/>
  <c r="L176" i="16" s="1"/>
  <c r="K152" i="15"/>
  <c r="K116" i="16" s="1"/>
  <c r="L116" i="16" s="1"/>
  <c r="L139" i="15"/>
  <c r="K294" i="15"/>
  <c r="K234" i="16" s="1"/>
  <c r="L234" i="16" s="1"/>
  <c r="L280" i="15"/>
  <c r="K77" i="15"/>
  <c r="L63" i="15"/>
  <c r="L97" i="9"/>
  <c r="L48" i="15"/>
  <c r="L87" i="9"/>
  <c r="K61" i="8"/>
  <c r="L61" i="8" s="1"/>
  <c r="L87" i="11"/>
  <c r="L87" i="10"/>
  <c r="L52" i="8"/>
  <c r="L98" i="8"/>
  <c r="L96" i="13"/>
  <c r="K65" i="8"/>
  <c r="L65" i="8" s="1"/>
  <c r="L36" i="8"/>
  <c r="L91" i="6"/>
  <c r="J30" i="1" a="1"/>
  <c r="J26" i="1" a="1"/>
  <c r="I30" i="1" a="1"/>
  <c r="J483" i="16" l="1"/>
  <c r="K286" i="16"/>
  <c r="K227" i="16"/>
  <c r="L227" i="16" s="1"/>
  <c r="K57" i="8"/>
  <c r="L57" i="8" s="1"/>
  <c r="K233" i="16"/>
  <c r="L233" i="16" s="1"/>
  <c r="K171" i="16"/>
  <c r="L171" i="16" s="1"/>
  <c r="K294" i="16"/>
  <c r="L294" i="16" s="1"/>
  <c r="K67" i="8"/>
  <c r="L67" i="8" s="1"/>
  <c r="K351" i="16"/>
  <c r="L351" i="16" s="1"/>
  <c r="L230" i="16"/>
  <c r="K66" i="8"/>
  <c r="L66" i="8" s="1"/>
  <c r="K117" i="16"/>
  <c r="L117" i="16" s="1"/>
  <c r="I30" i="1"/>
  <c r="J30" i="1"/>
  <c r="J26" i="1"/>
  <c r="K473" i="16"/>
  <c r="K454" i="16"/>
  <c r="K469" i="16"/>
  <c r="L59" i="16"/>
  <c r="K367" i="16"/>
  <c r="L367" i="16" s="1"/>
  <c r="K57" i="16"/>
  <c r="L197" i="16"/>
  <c r="K396" i="16"/>
  <c r="L396" i="16" s="1"/>
  <c r="L407" i="15"/>
  <c r="K323" i="16"/>
  <c r="L323" i="16" s="1"/>
  <c r="K392" i="16"/>
  <c r="L392" i="16" s="1"/>
  <c r="K58" i="16"/>
  <c r="L50" i="16"/>
  <c r="K53" i="16"/>
  <c r="L53" i="16" s="1"/>
  <c r="L212" i="16"/>
  <c r="L21" i="16"/>
  <c r="L20" i="16"/>
  <c r="L28" i="16"/>
  <c r="L29" i="16"/>
  <c r="L30" i="16"/>
  <c r="L24" i="16"/>
  <c r="K377" i="16"/>
  <c r="L377" i="16" s="1"/>
  <c r="K468" i="15"/>
  <c r="K492" i="15"/>
  <c r="K448" i="15"/>
  <c r="L448" i="15" s="1"/>
  <c r="K436" i="15"/>
  <c r="K352" i="16" s="1"/>
  <c r="L352" i="16" s="1"/>
  <c r="K26" i="1" a="1"/>
  <c r="K26" i="1" l="1"/>
  <c r="K458" i="16"/>
  <c r="B504" i="15"/>
  <c r="C504" i="15" s="1"/>
  <c r="D504" i="15" s="1"/>
  <c r="E504" i="15" s="1"/>
  <c r="F504" i="15" s="1"/>
  <c r="G504" i="15" s="1"/>
  <c r="H504" i="15" s="1"/>
  <c r="I504" i="15" s="1"/>
  <c r="J504" i="15" s="1"/>
  <c r="K504" i="15" s="1"/>
  <c r="B439" i="16"/>
  <c r="C439" i="16" s="1"/>
  <c r="D439" i="16" s="1"/>
  <c r="E439" i="16" s="1"/>
  <c r="F439" i="16" s="1"/>
  <c r="G439" i="16" s="1"/>
  <c r="H439" i="16" s="1"/>
  <c r="I439" i="16" s="1"/>
  <c r="J439" i="16" s="1"/>
  <c r="K439" i="16" s="1"/>
  <c r="B300" i="16"/>
  <c r="C300" i="16" s="1"/>
  <c r="D300" i="16" s="1"/>
  <c r="E300" i="16" s="1"/>
  <c r="F300" i="16" s="1"/>
  <c r="G300" i="16" s="1"/>
  <c r="H300" i="16" s="1"/>
  <c r="I300" i="16" s="1"/>
  <c r="J300" i="16" s="1"/>
  <c r="K300" i="16" s="1"/>
  <c r="B182" i="16"/>
  <c r="C182" i="16" s="1"/>
  <c r="D182" i="16" s="1"/>
  <c r="E182" i="16" s="1"/>
  <c r="F182" i="16" s="1"/>
  <c r="G182" i="16" s="1"/>
  <c r="H182" i="16" s="1"/>
  <c r="I182" i="16" s="1"/>
  <c r="J182" i="16" s="1"/>
  <c r="K182" i="16" s="1"/>
  <c r="B123" i="16"/>
  <c r="C123" i="16" s="1"/>
  <c r="D123" i="16" s="1"/>
  <c r="E123" i="16" s="1"/>
  <c r="F123" i="16" s="1"/>
  <c r="G123" i="16" s="1"/>
  <c r="H123" i="16" s="1"/>
  <c r="I123" i="16" s="1"/>
  <c r="J123" i="16" s="1"/>
  <c r="K123" i="16" s="1"/>
  <c r="B93" i="16"/>
  <c r="C93" i="16" s="1"/>
  <c r="D93" i="16" s="1"/>
  <c r="E93" i="16" s="1"/>
  <c r="F93" i="16" s="1"/>
  <c r="G93" i="16" s="1"/>
  <c r="H93" i="16" s="1"/>
  <c r="I93" i="16" s="1"/>
  <c r="J93" i="16" s="1"/>
  <c r="K93" i="16" s="1"/>
  <c r="B5" i="16"/>
  <c r="C5" i="16" s="1"/>
  <c r="D5" i="16" s="1"/>
  <c r="E5" i="16" s="1"/>
  <c r="F5" i="16" s="1"/>
  <c r="G5" i="16" s="1"/>
  <c r="H5" i="16" s="1"/>
  <c r="I5" i="16" s="1"/>
  <c r="J5" i="16" s="1"/>
  <c r="K5" i="16" s="1"/>
  <c r="B542" i="15"/>
  <c r="C542" i="15" s="1"/>
  <c r="D542" i="15" s="1"/>
  <c r="E542" i="15" s="1"/>
  <c r="F542" i="15" s="1"/>
  <c r="G542" i="15" s="1"/>
  <c r="H542" i="15" s="1"/>
  <c r="I542" i="15" s="1"/>
  <c r="J542" i="15" s="1"/>
  <c r="K542" i="15" s="1"/>
  <c r="B431" i="16"/>
  <c r="C431" i="16" s="1"/>
  <c r="D431" i="16" s="1"/>
  <c r="E431" i="16" s="1"/>
  <c r="F431" i="16" s="1"/>
  <c r="G431" i="16" s="1"/>
  <c r="H431" i="16" s="1"/>
  <c r="I431" i="16" s="1"/>
  <c r="J431" i="16" s="1"/>
  <c r="K431" i="16" s="1"/>
  <c r="B314" i="16"/>
  <c r="C314" i="16" s="1"/>
  <c r="D314" i="16" s="1"/>
  <c r="E314" i="16" s="1"/>
  <c r="F314" i="16" s="1"/>
  <c r="G314" i="16" s="1"/>
  <c r="H314" i="16" s="1"/>
  <c r="I314" i="16" s="1"/>
  <c r="J314" i="16" s="1"/>
  <c r="K314" i="16" s="1"/>
  <c r="B241" i="16"/>
  <c r="C241" i="16" s="1"/>
  <c r="D241" i="16" s="1"/>
  <c r="E241" i="16" s="1"/>
  <c r="F241" i="16" s="1"/>
  <c r="G241" i="16" s="1"/>
  <c r="H241" i="16" s="1"/>
  <c r="I241" i="16" s="1"/>
  <c r="J241" i="16" s="1"/>
  <c r="K241" i="16" s="1"/>
  <c r="B78" i="16"/>
  <c r="C78" i="16" s="1"/>
  <c r="D78" i="16" s="1"/>
  <c r="E78" i="16" s="1"/>
  <c r="F78" i="16" s="1"/>
  <c r="G78" i="16" s="1"/>
  <c r="H78" i="16" s="1"/>
  <c r="I78" i="16" s="1"/>
  <c r="J78" i="16" s="1"/>
  <c r="K78" i="16" s="1"/>
  <c r="B478" i="16"/>
  <c r="C478" i="16" s="1"/>
  <c r="D478" i="16" s="1"/>
  <c r="E478" i="16" s="1"/>
  <c r="F478" i="16" s="1"/>
  <c r="G478" i="16" s="1"/>
  <c r="H478" i="16" s="1"/>
  <c r="I478" i="16" s="1"/>
  <c r="J478" i="16" s="1"/>
  <c r="K478" i="16" s="1"/>
  <c r="B534" i="15"/>
  <c r="C534" i="15" s="1"/>
  <c r="D534" i="15" s="1"/>
  <c r="E534" i="15" s="1"/>
  <c r="F534" i="15" s="1"/>
  <c r="G534" i="15" s="1"/>
  <c r="H534" i="15" s="1"/>
  <c r="I534" i="15" s="1"/>
  <c r="J534" i="15" s="1"/>
  <c r="K534" i="15" s="1"/>
  <c r="B423" i="16"/>
  <c r="C423" i="16" s="1"/>
  <c r="D423" i="16" s="1"/>
  <c r="E423" i="16" s="1"/>
  <c r="F423" i="16" s="1"/>
  <c r="G423" i="16" s="1"/>
  <c r="H423" i="16" s="1"/>
  <c r="I423" i="16" s="1"/>
  <c r="J423" i="16" s="1"/>
  <c r="K423" i="16" s="1"/>
  <c r="B329" i="16"/>
  <c r="C329" i="16" s="1"/>
  <c r="D329" i="16" s="1"/>
  <c r="E329" i="16" s="1"/>
  <c r="F329" i="16" s="1"/>
  <c r="G329" i="16" s="1"/>
  <c r="H329" i="16" s="1"/>
  <c r="I329" i="16" s="1"/>
  <c r="J329" i="16" s="1"/>
  <c r="K329" i="16" s="1"/>
  <c r="B255" i="16"/>
  <c r="C255" i="16" s="1"/>
  <c r="D255" i="16" s="1"/>
  <c r="E255" i="16" s="1"/>
  <c r="F255" i="16" s="1"/>
  <c r="G255" i="16" s="1"/>
  <c r="H255" i="16" s="1"/>
  <c r="I255" i="16" s="1"/>
  <c r="J255" i="16" s="1"/>
  <c r="K255" i="16" s="1"/>
  <c r="B64" i="16"/>
  <c r="C64" i="16" s="1"/>
  <c r="D64" i="16" s="1"/>
  <c r="E64" i="16" s="1"/>
  <c r="F64" i="16" s="1"/>
  <c r="G64" i="16" s="1"/>
  <c r="H64" i="16" s="1"/>
  <c r="I64" i="16" s="1"/>
  <c r="J64" i="16" s="1"/>
  <c r="K64" i="16" s="1"/>
  <c r="B464" i="16"/>
  <c r="C464" i="16" s="1"/>
  <c r="D464" i="16" s="1"/>
  <c r="E464" i="16" s="1"/>
  <c r="F464" i="16" s="1"/>
  <c r="G464" i="16" s="1"/>
  <c r="H464" i="16" s="1"/>
  <c r="I464" i="16" s="1"/>
  <c r="J464" i="16" s="1"/>
  <c r="K464" i="16" s="1"/>
  <c r="B526" i="15"/>
  <c r="C526" i="15" s="1"/>
  <c r="D526" i="15" s="1"/>
  <c r="E526" i="15" s="1"/>
  <c r="F526" i="15" s="1"/>
  <c r="G526" i="15" s="1"/>
  <c r="H526" i="15" s="1"/>
  <c r="I526" i="15" s="1"/>
  <c r="J526" i="15" s="1"/>
  <c r="K526" i="15" s="1"/>
  <c r="B415" i="16"/>
  <c r="C415" i="16" s="1"/>
  <c r="D415" i="16" s="1"/>
  <c r="E415" i="16" s="1"/>
  <c r="F415" i="16" s="1"/>
  <c r="G415" i="16" s="1"/>
  <c r="H415" i="16" s="1"/>
  <c r="I415" i="16" s="1"/>
  <c r="J415" i="16" s="1"/>
  <c r="K415" i="16" s="1"/>
  <c r="B343" i="16"/>
  <c r="C343" i="16" s="1"/>
  <c r="D343" i="16" s="1"/>
  <c r="E343" i="16" s="1"/>
  <c r="F343" i="16" s="1"/>
  <c r="G343" i="16" s="1"/>
  <c r="H343" i="16" s="1"/>
  <c r="I343" i="16" s="1"/>
  <c r="J343" i="16" s="1"/>
  <c r="K343" i="16" s="1"/>
  <c r="B270" i="16"/>
  <c r="C270" i="16" s="1"/>
  <c r="D270" i="16" s="1"/>
  <c r="E270" i="16" s="1"/>
  <c r="F270" i="16" s="1"/>
  <c r="G270" i="16" s="1"/>
  <c r="H270" i="16" s="1"/>
  <c r="I270" i="16" s="1"/>
  <c r="J270" i="16" s="1"/>
  <c r="K270" i="16" s="1"/>
  <c r="B518" i="15"/>
  <c r="C518" i="15" s="1"/>
  <c r="D518" i="15" s="1"/>
  <c r="E518" i="15" s="1"/>
  <c r="F518" i="15" s="1"/>
  <c r="G518" i="15" s="1"/>
  <c r="H518" i="15" s="1"/>
  <c r="I518" i="15" s="1"/>
  <c r="J518" i="15" s="1"/>
  <c r="K518" i="15" s="1"/>
  <c r="B401" i="16"/>
  <c r="C401" i="16" s="1"/>
  <c r="D401" i="16" s="1"/>
  <c r="E401" i="16" s="1"/>
  <c r="F401" i="16" s="1"/>
  <c r="G401" i="16" s="1"/>
  <c r="H401" i="16" s="1"/>
  <c r="I401" i="16" s="1"/>
  <c r="J401" i="16" s="1"/>
  <c r="K401" i="16" s="1"/>
  <c r="B284" i="16"/>
  <c r="C284" i="16" s="1"/>
  <c r="D284" i="16" s="1"/>
  <c r="E284" i="16" s="1"/>
  <c r="F284" i="16" s="1"/>
  <c r="G284" i="16" s="1"/>
  <c r="H284" i="16" s="1"/>
  <c r="I284" i="16" s="1"/>
  <c r="J284" i="16" s="1"/>
  <c r="K284" i="16" s="1"/>
  <c r="B449" i="16"/>
  <c r="C449" i="16" s="1"/>
  <c r="D449" i="16" s="1"/>
  <c r="E449" i="16" s="1"/>
  <c r="F449" i="16" s="1"/>
  <c r="G449" i="16" s="1"/>
  <c r="H449" i="16" s="1"/>
  <c r="I449" i="16" s="1"/>
  <c r="J449" i="16" s="1"/>
  <c r="K449" i="16" s="1"/>
  <c r="B387" i="16"/>
  <c r="C387" i="16" s="1"/>
  <c r="D387" i="16" s="1"/>
  <c r="E387" i="16" s="1"/>
  <c r="F387" i="16" s="1"/>
  <c r="G387" i="16" s="1"/>
  <c r="H387" i="16" s="1"/>
  <c r="I387" i="16" s="1"/>
  <c r="J387" i="16" s="1"/>
  <c r="K387" i="16" s="1"/>
  <c r="B225" i="16"/>
  <c r="C225" i="16" s="1"/>
  <c r="D225" i="16" s="1"/>
  <c r="E225" i="16" s="1"/>
  <c r="F225" i="16" s="1"/>
  <c r="G225" i="16" s="1"/>
  <c r="H225" i="16" s="1"/>
  <c r="I225" i="16" s="1"/>
  <c r="J225" i="16" s="1"/>
  <c r="K225" i="16" s="1"/>
  <c r="B166" i="16"/>
  <c r="C166" i="16" s="1"/>
  <c r="D166" i="16" s="1"/>
  <c r="E166" i="16" s="1"/>
  <c r="F166" i="16" s="1"/>
  <c r="G166" i="16" s="1"/>
  <c r="H166" i="16" s="1"/>
  <c r="I166" i="16" s="1"/>
  <c r="J166" i="16" s="1"/>
  <c r="K166" i="16" s="1"/>
  <c r="B48" i="16"/>
  <c r="C48" i="16" s="1"/>
  <c r="D48" i="16" s="1"/>
  <c r="E48" i="16" s="1"/>
  <c r="F48" i="16" s="1"/>
  <c r="G48" i="16" s="1"/>
  <c r="H48" i="16" s="1"/>
  <c r="I48" i="16" s="1"/>
  <c r="J48" i="16" s="1"/>
  <c r="K48" i="16" s="1"/>
  <c r="B34" i="16"/>
  <c r="C34" i="16" s="1"/>
  <c r="D34" i="16" s="1"/>
  <c r="E34" i="16" s="1"/>
  <c r="F34" i="16" s="1"/>
  <c r="G34" i="16" s="1"/>
  <c r="H34" i="16" s="1"/>
  <c r="I34" i="16" s="1"/>
  <c r="J34" i="16" s="1"/>
  <c r="K34" i="16" s="1"/>
  <c r="B372" i="16"/>
  <c r="C372" i="16" s="1"/>
  <c r="D372" i="16" s="1"/>
  <c r="E372" i="16" s="1"/>
  <c r="F372" i="16" s="1"/>
  <c r="G372" i="16" s="1"/>
  <c r="H372" i="16" s="1"/>
  <c r="I372" i="16" s="1"/>
  <c r="J372" i="16" s="1"/>
  <c r="K372" i="16" s="1"/>
  <c r="B211" i="16"/>
  <c r="C211" i="16" s="1"/>
  <c r="D211" i="16" s="1"/>
  <c r="E211" i="16" s="1"/>
  <c r="F211" i="16" s="1"/>
  <c r="G211" i="16" s="1"/>
  <c r="H211" i="16" s="1"/>
  <c r="I211" i="16" s="1"/>
  <c r="J211" i="16" s="1"/>
  <c r="K211" i="16" s="1"/>
  <c r="B152" i="16"/>
  <c r="C152" i="16" s="1"/>
  <c r="D152" i="16" s="1"/>
  <c r="E152" i="16" s="1"/>
  <c r="F152" i="16" s="1"/>
  <c r="G152" i="16" s="1"/>
  <c r="H152" i="16" s="1"/>
  <c r="I152" i="16" s="1"/>
  <c r="J152" i="16" s="1"/>
  <c r="K152" i="16" s="1"/>
  <c r="B358" i="16"/>
  <c r="C358" i="16" s="1"/>
  <c r="D358" i="16" s="1"/>
  <c r="E358" i="16" s="1"/>
  <c r="F358" i="16" s="1"/>
  <c r="G358" i="16" s="1"/>
  <c r="H358" i="16" s="1"/>
  <c r="I358" i="16" s="1"/>
  <c r="J358" i="16" s="1"/>
  <c r="K358" i="16" s="1"/>
  <c r="B196" i="16"/>
  <c r="C196" i="16" s="1"/>
  <c r="D196" i="16" s="1"/>
  <c r="E196" i="16" s="1"/>
  <c r="F196" i="16" s="1"/>
  <c r="G196" i="16" s="1"/>
  <c r="H196" i="16" s="1"/>
  <c r="I196" i="16" s="1"/>
  <c r="J196" i="16" s="1"/>
  <c r="K196" i="16" s="1"/>
  <c r="B137" i="16"/>
  <c r="C137" i="16" s="1"/>
  <c r="D137" i="16" s="1"/>
  <c r="E137" i="16" s="1"/>
  <c r="F137" i="16" s="1"/>
  <c r="G137" i="16" s="1"/>
  <c r="H137" i="16" s="1"/>
  <c r="I137" i="16" s="1"/>
  <c r="J137" i="16" s="1"/>
  <c r="K137" i="16" s="1"/>
  <c r="B107" i="16"/>
  <c r="C107" i="16" s="1"/>
  <c r="D107" i="16" s="1"/>
  <c r="E107" i="16" s="1"/>
  <c r="F107" i="16" s="1"/>
  <c r="G107" i="16" s="1"/>
  <c r="H107" i="16" s="1"/>
  <c r="I107" i="16" s="1"/>
  <c r="J107" i="16" s="1"/>
  <c r="K107" i="16" s="1"/>
  <c r="B19" i="16"/>
  <c r="C19" i="16" s="1"/>
  <c r="D19" i="16" s="1"/>
  <c r="E19" i="16" s="1"/>
  <c r="F19" i="16" s="1"/>
  <c r="G19" i="16" s="1"/>
  <c r="H19" i="16" s="1"/>
  <c r="I19" i="16" s="1"/>
  <c r="J19" i="16" s="1"/>
  <c r="K19" i="16" s="1"/>
  <c r="K381" i="16"/>
  <c r="L381" i="16" s="1"/>
  <c r="K487" i="16"/>
  <c r="K410" i="16"/>
  <c r="L410" i="16" s="1"/>
  <c r="L57" i="16"/>
  <c r="L58" i="16"/>
  <c r="K406" i="16"/>
  <c r="L406" i="16" s="1"/>
  <c r="K483" i="16"/>
  <c r="K452" i="15"/>
  <c r="L452" i="15" s="1"/>
  <c r="K496" i="15"/>
  <c r="B443" i="15"/>
  <c r="C443" i="15" s="1"/>
  <c r="D443" i="15" s="1"/>
  <c r="E443" i="15" s="1"/>
  <c r="F443" i="15" s="1"/>
  <c r="G443" i="15" s="1"/>
  <c r="H443" i="15" s="1"/>
  <c r="I443" i="15" s="1"/>
  <c r="J443" i="15" s="1"/>
  <c r="K443" i="15" s="1"/>
  <c r="B459" i="15"/>
  <c r="C459" i="15" s="1"/>
  <c r="D459" i="15" s="1"/>
  <c r="E459" i="15" s="1"/>
  <c r="F459" i="15" s="1"/>
  <c r="G459" i="15" s="1"/>
  <c r="H459" i="15" s="1"/>
  <c r="I459" i="15" s="1"/>
  <c r="J459" i="15" s="1"/>
  <c r="K459" i="15" s="1"/>
  <c r="B371" i="15"/>
  <c r="C371" i="15" s="1"/>
  <c r="D371" i="15" s="1"/>
  <c r="E371" i="15" s="1"/>
  <c r="F371" i="15" s="1"/>
  <c r="G371" i="15" s="1"/>
  <c r="H371" i="15" s="1"/>
  <c r="I371" i="15" s="1"/>
  <c r="J371" i="15" s="1"/>
  <c r="K371" i="15" s="1"/>
  <c r="B384" i="15"/>
  <c r="C384" i="15" s="1"/>
  <c r="D384" i="15" s="1"/>
  <c r="E384" i="15" s="1"/>
  <c r="F384" i="15" s="1"/>
  <c r="G384" i="15" s="1"/>
  <c r="H384" i="15" s="1"/>
  <c r="I384" i="15" s="1"/>
  <c r="J384" i="15" s="1"/>
  <c r="K384" i="15" s="1"/>
  <c r="B300" i="15"/>
  <c r="C300" i="15" s="1"/>
  <c r="D300" i="15" s="1"/>
  <c r="E300" i="15" s="1"/>
  <c r="F300" i="15" s="1"/>
  <c r="G300" i="15" s="1"/>
  <c r="H300" i="15" s="1"/>
  <c r="I300" i="15" s="1"/>
  <c r="J300" i="15" s="1"/>
  <c r="K300" i="15" s="1"/>
  <c r="B313" i="15"/>
  <c r="C313" i="15" s="1"/>
  <c r="D313" i="15" s="1"/>
  <c r="E313" i="15" s="1"/>
  <c r="F313" i="15" s="1"/>
  <c r="G313" i="15" s="1"/>
  <c r="H313" i="15" s="1"/>
  <c r="I313" i="15" s="1"/>
  <c r="J313" i="15" s="1"/>
  <c r="K313" i="15" s="1"/>
  <c r="B229" i="15"/>
  <c r="C229" i="15" s="1"/>
  <c r="D229" i="15" s="1"/>
  <c r="E229" i="15" s="1"/>
  <c r="F229" i="15" s="1"/>
  <c r="G229" i="15" s="1"/>
  <c r="H229" i="15" s="1"/>
  <c r="I229" i="15" s="1"/>
  <c r="J229" i="15" s="1"/>
  <c r="K229" i="15" s="1"/>
  <c r="B242" i="15"/>
  <c r="C242" i="15" s="1"/>
  <c r="D242" i="15" s="1"/>
  <c r="E242" i="15" s="1"/>
  <c r="F242" i="15" s="1"/>
  <c r="G242" i="15" s="1"/>
  <c r="H242" i="15" s="1"/>
  <c r="I242" i="15" s="1"/>
  <c r="J242" i="15" s="1"/>
  <c r="K242" i="15" s="1"/>
  <c r="B158" i="15"/>
  <c r="C158" i="15" s="1"/>
  <c r="D158" i="15" s="1"/>
  <c r="E158" i="15" s="1"/>
  <c r="F158" i="15" s="1"/>
  <c r="G158" i="15" s="1"/>
  <c r="H158" i="15" s="1"/>
  <c r="I158" i="15" s="1"/>
  <c r="J158" i="15" s="1"/>
  <c r="K158" i="15" s="1"/>
  <c r="B171" i="15"/>
  <c r="C171" i="15" s="1"/>
  <c r="D171" i="15" s="1"/>
  <c r="E171" i="15" s="1"/>
  <c r="F171" i="15" s="1"/>
  <c r="G171" i="15" s="1"/>
  <c r="H171" i="15" s="1"/>
  <c r="I171" i="15" s="1"/>
  <c r="J171" i="15" s="1"/>
  <c r="K171" i="15" s="1"/>
  <c r="B87" i="15"/>
  <c r="C87" i="15" s="1"/>
  <c r="D87" i="15" s="1"/>
  <c r="E87" i="15" s="1"/>
  <c r="F87" i="15" s="1"/>
  <c r="G87" i="15" s="1"/>
  <c r="H87" i="15" s="1"/>
  <c r="I87" i="15" s="1"/>
  <c r="J87" i="15" s="1"/>
  <c r="K87" i="15" s="1"/>
  <c r="B100" i="15"/>
  <c r="C100" i="15" s="1"/>
  <c r="D100" i="15" s="1"/>
  <c r="E100" i="15" s="1"/>
  <c r="F100" i="15" s="1"/>
  <c r="G100" i="15" s="1"/>
  <c r="H100" i="15" s="1"/>
  <c r="I100" i="15" s="1"/>
  <c r="J100" i="15" s="1"/>
  <c r="K100" i="15" s="1"/>
  <c r="B29" i="15"/>
  <c r="C29" i="15" s="1"/>
  <c r="D29" i="15" s="1"/>
  <c r="E29" i="15" s="1"/>
  <c r="F29" i="15" s="1"/>
  <c r="G29" i="15" s="1"/>
  <c r="H29" i="15" s="1"/>
  <c r="I29" i="15" s="1"/>
  <c r="J29" i="15" s="1"/>
  <c r="K29" i="15" s="1"/>
  <c r="B16" i="15"/>
  <c r="A28" i="5"/>
  <c r="B30" i="7"/>
  <c r="C30" i="7" s="1"/>
  <c r="D30" i="7" s="1"/>
  <c r="E30" i="7" s="1"/>
  <c r="F30" i="7" s="1"/>
  <c r="G30" i="7" s="1"/>
  <c r="H30" i="7" s="1"/>
  <c r="I30" i="7" s="1"/>
  <c r="J30" i="7" s="1"/>
  <c r="K30" i="7" s="1"/>
  <c r="B21" i="1"/>
  <c r="C21" i="1" s="1"/>
  <c r="D21" i="1" s="1"/>
  <c r="E21" i="1" s="1"/>
  <c r="F21" i="1" s="1"/>
  <c r="G21" i="1" s="1"/>
  <c r="H21" i="1" s="1"/>
  <c r="I21" i="1" s="1"/>
  <c r="J21" i="1" s="1"/>
  <c r="K21" i="1" s="1"/>
  <c r="B43" i="6"/>
  <c r="B100" i="12"/>
  <c r="C100" i="12" s="1"/>
  <c r="D100" i="12" s="1"/>
  <c r="E100" i="12" s="1"/>
  <c r="F100" i="12" s="1"/>
  <c r="G100" i="12" s="1"/>
  <c r="H100" i="12" s="1"/>
  <c r="I100" i="12" s="1"/>
  <c r="J100" i="12" s="1"/>
  <c r="K100" i="12" s="1"/>
  <c r="B72" i="13"/>
  <c r="B30" i="12"/>
  <c r="C30" i="12" s="1"/>
  <c r="D30" i="12" s="1"/>
  <c r="E30" i="12" s="1"/>
  <c r="F30" i="12" s="1"/>
  <c r="G30" i="12" s="1"/>
  <c r="H30" i="12" s="1"/>
  <c r="I30" i="12" s="1"/>
  <c r="J30" i="12" s="1"/>
  <c r="K30" i="12" s="1"/>
  <c r="B86" i="10"/>
  <c r="C86" i="10" s="1"/>
  <c r="D86" i="10" s="1"/>
  <c r="E86" i="10" s="1"/>
  <c r="F86" i="10" s="1"/>
  <c r="G86" i="10" s="1"/>
  <c r="H86" i="10" s="1"/>
  <c r="I86" i="10" s="1"/>
  <c r="J86" i="10" s="1"/>
  <c r="K86" i="10" s="1"/>
  <c r="B30" i="9"/>
  <c r="C30" i="9" s="1"/>
  <c r="D30" i="9" s="1"/>
  <c r="E30" i="9" s="1"/>
  <c r="F30" i="9" s="1"/>
  <c r="G30" i="9" s="1"/>
  <c r="H30" i="9" s="1"/>
  <c r="I30" i="9" s="1"/>
  <c r="J30" i="9" s="1"/>
  <c r="K30" i="9" s="1"/>
  <c r="B57" i="12"/>
  <c r="B57" i="9"/>
  <c r="B43" i="11"/>
  <c r="B100" i="13"/>
  <c r="C100" i="13" s="1"/>
  <c r="D100" i="13" s="1"/>
  <c r="E100" i="13" s="1"/>
  <c r="F100" i="13" s="1"/>
  <c r="G100" i="13" s="1"/>
  <c r="H100" i="13" s="1"/>
  <c r="I100" i="13" s="1"/>
  <c r="J100" i="13" s="1"/>
  <c r="K100" i="13" s="1"/>
  <c r="B72" i="10"/>
  <c r="B2" i="9"/>
  <c r="C2" i="9" s="1"/>
  <c r="B43" i="12"/>
  <c r="B100" i="9"/>
  <c r="C100" i="9" s="1"/>
  <c r="D100" i="9" s="1"/>
  <c r="E100" i="9" s="1"/>
  <c r="F100" i="9" s="1"/>
  <c r="G100" i="9" s="1"/>
  <c r="H100" i="9" s="1"/>
  <c r="I100" i="9" s="1"/>
  <c r="J100" i="9" s="1"/>
  <c r="K100" i="9" s="1"/>
  <c r="B88" i="8"/>
  <c r="C88" i="8" s="1"/>
  <c r="D88" i="8" s="1"/>
  <c r="E88" i="8" s="1"/>
  <c r="F88" i="8" s="1"/>
  <c r="G88" i="8" s="1"/>
  <c r="H88" i="8" s="1"/>
  <c r="I88" i="8" s="1"/>
  <c r="J88" i="8" s="1"/>
  <c r="K88" i="8" s="1"/>
  <c r="B57" i="13"/>
  <c r="B2" i="12"/>
  <c r="C2" i="12" s="1"/>
  <c r="B57" i="10"/>
  <c r="B86" i="6"/>
  <c r="C86" i="6" s="1"/>
  <c r="D86" i="6" s="1"/>
  <c r="E86" i="6" s="1"/>
  <c r="F86" i="6" s="1"/>
  <c r="G86" i="6" s="1"/>
  <c r="H86" i="6" s="1"/>
  <c r="I86" i="6" s="1"/>
  <c r="J86" i="6" s="1"/>
  <c r="K86" i="6" s="1"/>
  <c r="B72" i="6"/>
  <c r="B57" i="6"/>
  <c r="B100" i="11"/>
  <c r="C100" i="11" s="1"/>
  <c r="D100" i="11" s="1"/>
  <c r="E100" i="11" s="1"/>
  <c r="F100" i="11" s="1"/>
  <c r="G100" i="11" s="1"/>
  <c r="H100" i="11" s="1"/>
  <c r="I100" i="11" s="1"/>
  <c r="J100" i="11" s="1"/>
  <c r="K100" i="11" s="1"/>
  <c r="B43" i="13"/>
  <c r="B18" i="8"/>
  <c r="B30" i="13"/>
  <c r="C30" i="13" s="1"/>
  <c r="D30" i="13" s="1"/>
  <c r="E30" i="13" s="1"/>
  <c r="F30" i="13" s="1"/>
  <c r="G30" i="13" s="1"/>
  <c r="H30" i="13" s="1"/>
  <c r="I30" i="13" s="1"/>
  <c r="J30" i="13" s="1"/>
  <c r="K30" i="13" s="1"/>
  <c r="B86" i="11"/>
  <c r="C86" i="11" s="1"/>
  <c r="D86" i="11" s="1"/>
  <c r="E86" i="11" s="1"/>
  <c r="F86" i="11" s="1"/>
  <c r="G86" i="11" s="1"/>
  <c r="H86" i="11" s="1"/>
  <c r="I86" i="11" s="1"/>
  <c r="J86" i="11" s="1"/>
  <c r="K86" i="11" s="1"/>
  <c r="B30" i="10"/>
  <c r="C30" i="10" s="1"/>
  <c r="D30" i="10" s="1"/>
  <c r="E30" i="10" s="1"/>
  <c r="F30" i="10" s="1"/>
  <c r="G30" i="10" s="1"/>
  <c r="H30" i="10" s="1"/>
  <c r="I30" i="10" s="1"/>
  <c r="J30" i="10" s="1"/>
  <c r="K30" i="10" s="1"/>
  <c r="B2" i="11"/>
  <c r="C2" i="11" s="1"/>
  <c r="B72" i="8"/>
  <c r="C72" i="8" s="1"/>
  <c r="D72" i="8" s="1"/>
  <c r="E72" i="8" s="1"/>
  <c r="F72" i="8" s="1"/>
  <c r="G72" i="8" s="1"/>
  <c r="H72" i="8" s="1"/>
  <c r="I72" i="8" s="1"/>
  <c r="J72" i="8" s="1"/>
  <c r="K72" i="8" s="1"/>
  <c r="B43" i="9"/>
  <c r="B10" i="8"/>
  <c r="C10" i="8" s="1"/>
  <c r="D10" i="8" s="1"/>
  <c r="E10" i="8" s="1"/>
  <c r="F10" i="8" s="1"/>
  <c r="G10" i="8" s="1"/>
  <c r="H10" i="8" s="1"/>
  <c r="I10" i="8" s="1"/>
  <c r="J10" i="8" s="1"/>
  <c r="K10" i="8" s="1"/>
  <c r="B2" i="13"/>
  <c r="C2" i="13" s="1"/>
  <c r="B72" i="11"/>
  <c r="B2" i="10"/>
  <c r="C2" i="10" s="1"/>
  <c r="B103" i="8"/>
  <c r="C103" i="8" s="1"/>
  <c r="D103" i="8" s="1"/>
  <c r="E103" i="8" s="1"/>
  <c r="F103" i="8" s="1"/>
  <c r="G103" i="8" s="1"/>
  <c r="H103" i="8" s="1"/>
  <c r="I103" i="8" s="1"/>
  <c r="J103" i="8" s="1"/>
  <c r="K103" i="8" s="1"/>
  <c r="B100" i="10"/>
  <c r="C100" i="10" s="1"/>
  <c r="D100" i="10" s="1"/>
  <c r="E100" i="10" s="1"/>
  <c r="F100" i="10" s="1"/>
  <c r="G100" i="10" s="1"/>
  <c r="H100" i="10" s="1"/>
  <c r="I100" i="10" s="1"/>
  <c r="J100" i="10" s="1"/>
  <c r="K100" i="10" s="1"/>
  <c r="B2" i="8"/>
  <c r="B86" i="12"/>
  <c r="C86" i="12" s="1"/>
  <c r="D86" i="12" s="1"/>
  <c r="E86" i="12" s="1"/>
  <c r="F86" i="12" s="1"/>
  <c r="G86" i="12" s="1"/>
  <c r="H86" i="12" s="1"/>
  <c r="I86" i="12" s="1"/>
  <c r="J86" i="12" s="1"/>
  <c r="K86" i="12" s="1"/>
  <c r="B57" i="11"/>
  <c r="B86" i="9"/>
  <c r="C86" i="9" s="1"/>
  <c r="D86" i="9" s="1"/>
  <c r="E86" i="9" s="1"/>
  <c r="F86" i="9" s="1"/>
  <c r="G86" i="9" s="1"/>
  <c r="H86" i="9" s="1"/>
  <c r="I86" i="9" s="1"/>
  <c r="J86" i="9" s="1"/>
  <c r="K86" i="9" s="1"/>
  <c r="B30" i="6"/>
  <c r="C30" i="6" s="1"/>
  <c r="D30" i="6" s="1"/>
  <c r="E30" i="6" s="1"/>
  <c r="F30" i="6" s="1"/>
  <c r="G30" i="6" s="1"/>
  <c r="H30" i="6" s="1"/>
  <c r="I30" i="6" s="1"/>
  <c r="J30" i="6" s="1"/>
  <c r="K30" i="6" s="1"/>
  <c r="B100" i="6"/>
  <c r="C100" i="6" s="1"/>
  <c r="D100" i="6" s="1"/>
  <c r="E100" i="6" s="1"/>
  <c r="F100" i="6" s="1"/>
  <c r="G100" i="6" s="1"/>
  <c r="H100" i="6" s="1"/>
  <c r="I100" i="6" s="1"/>
  <c r="J100" i="6" s="1"/>
  <c r="K100" i="6" s="1"/>
  <c r="B27" i="8"/>
  <c r="B72" i="12"/>
  <c r="B30" i="11"/>
  <c r="C30" i="11" s="1"/>
  <c r="D30" i="11" s="1"/>
  <c r="E30" i="11" s="1"/>
  <c r="F30" i="11" s="1"/>
  <c r="G30" i="11" s="1"/>
  <c r="H30" i="11" s="1"/>
  <c r="I30" i="11" s="1"/>
  <c r="J30" i="11" s="1"/>
  <c r="K30" i="11" s="1"/>
  <c r="B72" i="9"/>
  <c r="B2" i="6"/>
  <c r="C2" i="6" s="1"/>
  <c r="B43" i="10"/>
  <c r="B86" i="13"/>
  <c r="C86" i="13" s="1"/>
  <c r="D86" i="13" s="1"/>
  <c r="E86" i="13" s="1"/>
  <c r="F86" i="13" s="1"/>
  <c r="G86" i="13" s="1"/>
  <c r="H86" i="13" s="1"/>
  <c r="I86" i="13" s="1"/>
  <c r="J86" i="13" s="1"/>
  <c r="K86" i="13" s="1"/>
  <c r="K30" i="1" a="1"/>
  <c r="K30" i="1" l="1"/>
  <c r="C9" i="11"/>
  <c r="C37" i="11" s="1"/>
  <c r="C8" i="11"/>
  <c r="C36" i="11" s="1"/>
  <c r="C6" i="11"/>
  <c r="C34" i="11" s="1"/>
  <c r="C47" i="11" s="1"/>
  <c r="C5" i="11"/>
  <c r="C33" i="11" s="1"/>
  <c r="C10" i="9"/>
  <c r="C38" i="9" s="1"/>
  <c r="C51" i="9" s="1"/>
  <c r="C8" i="9"/>
  <c r="C36" i="9" s="1"/>
  <c r="C9" i="9"/>
  <c r="C37" i="9" s="1"/>
  <c r="C6" i="9"/>
  <c r="C34" i="9" s="1"/>
  <c r="C5" i="9"/>
  <c r="C33" i="9" s="1"/>
  <c r="C5" i="10"/>
  <c r="C33" i="10" s="1"/>
  <c r="C9" i="10"/>
  <c r="C37" i="10" s="1"/>
  <c r="C8" i="10"/>
  <c r="C36" i="10" s="1"/>
  <c r="C9" i="12"/>
  <c r="C37" i="12" s="1"/>
  <c r="C8" i="12"/>
  <c r="C36" i="12" s="1"/>
  <c r="C6" i="12"/>
  <c r="C34" i="12" s="1"/>
  <c r="C5" i="12"/>
  <c r="C33" i="12" s="1"/>
  <c r="C10" i="12"/>
  <c r="C38" i="12" s="1"/>
  <c r="C5" i="13"/>
  <c r="C33" i="13" s="1"/>
  <c r="C9" i="13"/>
  <c r="C37" i="13" s="1"/>
  <c r="C18" i="8"/>
  <c r="D18" i="8" s="1"/>
  <c r="E18" i="8" s="1"/>
  <c r="F18" i="8" s="1"/>
  <c r="G18" i="8" s="1"/>
  <c r="H18" i="8" s="1"/>
  <c r="I18" i="8" s="1"/>
  <c r="J18" i="8" s="1"/>
  <c r="K18" i="8" s="1"/>
  <c r="C16" i="15"/>
  <c r="D16" i="15" s="1"/>
  <c r="E16" i="15" s="1"/>
  <c r="F16" i="15" s="1"/>
  <c r="G16" i="15" s="1"/>
  <c r="H16" i="15" s="1"/>
  <c r="I16" i="15" s="1"/>
  <c r="J16" i="15" s="1"/>
  <c r="K16" i="15" s="1"/>
  <c r="C43" i="10"/>
  <c r="D43" i="10" s="1"/>
  <c r="E43" i="10" s="1"/>
  <c r="F43" i="10" s="1"/>
  <c r="G43" i="10" s="1"/>
  <c r="H43" i="10" s="1"/>
  <c r="I43" i="10" s="1"/>
  <c r="J43" i="10" s="1"/>
  <c r="K43" i="10" s="1"/>
  <c r="C43" i="13"/>
  <c r="D43" i="13" s="1"/>
  <c r="E43" i="13" s="1"/>
  <c r="F43" i="13" s="1"/>
  <c r="G43" i="13" s="1"/>
  <c r="H43" i="13" s="1"/>
  <c r="I43" i="13" s="1"/>
  <c r="J43" i="13" s="1"/>
  <c r="K43" i="13" s="1"/>
  <c r="C43" i="9"/>
  <c r="D43" i="9" s="1"/>
  <c r="E43" i="9" s="1"/>
  <c r="F43" i="9" s="1"/>
  <c r="G43" i="9" s="1"/>
  <c r="H43" i="9" s="1"/>
  <c r="I43" i="9" s="1"/>
  <c r="J43" i="9" s="1"/>
  <c r="K43" i="9" s="1"/>
  <c r="C43" i="12"/>
  <c r="D43" i="12" s="1"/>
  <c r="E43" i="12" s="1"/>
  <c r="F43" i="12" s="1"/>
  <c r="G43" i="12" s="1"/>
  <c r="H43" i="12" s="1"/>
  <c r="I43" i="12" s="1"/>
  <c r="J43" i="12" s="1"/>
  <c r="K43" i="12" s="1"/>
  <c r="C43" i="11"/>
  <c r="D43" i="11" s="1"/>
  <c r="E43" i="11" s="1"/>
  <c r="F43" i="11" s="1"/>
  <c r="G43" i="11" s="1"/>
  <c r="H43" i="11" s="1"/>
  <c r="I43" i="11" s="1"/>
  <c r="J43" i="11" s="1"/>
  <c r="K43" i="11" s="1"/>
  <c r="N44" i="11"/>
  <c r="C43" i="6"/>
  <c r="D43" i="6" s="1"/>
  <c r="E43" i="6" s="1"/>
  <c r="F43" i="6" s="1"/>
  <c r="G43" i="6" s="1"/>
  <c r="H43" i="6" s="1"/>
  <c r="I43" i="6" s="1"/>
  <c r="J43" i="6" s="1"/>
  <c r="K43" i="6" s="1"/>
  <c r="D2" i="13"/>
  <c r="C34" i="13"/>
  <c r="C47" i="13" s="1"/>
  <c r="C72" i="13"/>
  <c r="C57" i="13"/>
  <c r="C72" i="9"/>
  <c r="C57" i="9"/>
  <c r="C72" i="11"/>
  <c r="C57" i="11"/>
  <c r="C57" i="12"/>
  <c r="C72" i="12"/>
  <c r="D2" i="6"/>
  <c r="C4" i="6"/>
  <c r="C32" i="6" s="1"/>
  <c r="C45" i="6" s="1"/>
  <c r="C8" i="6"/>
  <c r="C36" i="6" s="1"/>
  <c r="C9" i="6"/>
  <c r="C37" i="6" s="1"/>
  <c r="C10" i="6"/>
  <c r="C38" i="6" s="1"/>
  <c r="C51" i="6" s="1"/>
  <c r="C5" i="6"/>
  <c r="C33" i="6" s="1"/>
  <c r="C2" i="8"/>
  <c r="D2" i="8" s="1"/>
  <c r="E2" i="8" s="1"/>
  <c r="F2" i="8" s="1"/>
  <c r="G2" i="8" s="1"/>
  <c r="H2" i="8" s="1"/>
  <c r="I2" i="8" s="1"/>
  <c r="J2" i="8" s="1"/>
  <c r="K2" i="8" s="1"/>
  <c r="C72" i="6"/>
  <c r="C57" i="6"/>
  <c r="D2" i="11"/>
  <c r="D2" i="9"/>
  <c r="C42" i="8"/>
  <c r="C27" i="8"/>
  <c r="B56" i="8"/>
  <c r="C56" i="8" s="1"/>
  <c r="D56" i="8" s="1"/>
  <c r="E56" i="8" s="1"/>
  <c r="F56" i="8" s="1"/>
  <c r="G56" i="8" s="1"/>
  <c r="H56" i="8" s="1"/>
  <c r="I56" i="8" s="1"/>
  <c r="J56" i="8" s="1"/>
  <c r="K56" i="8" s="1"/>
  <c r="B42" i="8"/>
  <c r="C38" i="10"/>
  <c r="D2" i="10"/>
  <c r="C32" i="10"/>
  <c r="C57" i="10"/>
  <c r="C72" i="10"/>
  <c r="D2" i="12"/>
  <c r="C22" i="15" l="1"/>
  <c r="C35" i="15" s="1"/>
  <c r="C49" i="9"/>
  <c r="C11" i="16" s="1"/>
  <c r="C23" i="15"/>
  <c r="C36" i="15" s="1"/>
  <c r="C50" i="9"/>
  <c r="C65" i="9"/>
  <c r="C27" i="16" s="1"/>
  <c r="C80" i="9"/>
  <c r="C42" i="16" s="1"/>
  <c r="C19" i="15"/>
  <c r="C32" i="15" s="1"/>
  <c r="C46" i="15" s="1"/>
  <c r="C46" i="9"/>
  <c r="C20" i="15"/>
  <c r="C33" i="15" s="1"/>
  <c r="C47" i="9"/>
  <c r="C95" i="15"/>
  <c r="C51" i="10"/>
  <c r="C94" i="15"/>
  <c r="C107" i="15" s="1"/>
  <c r="C50" i="10"/>
  <c r="C90" i="15"/>
  <c r="C103" i="15" s="1"/>
  <c r="C132" i="15" s="1"/>
  <c r="C46" i="10"/>
  <c r="C93" i="15"/>
  <c r="C106" i="15" s="1"/>
  <c r="C49" i="10"/>
  <c r="C89" i="15"/>
  <c r="C45" i="10"/>
  <c r="C74" i="6"/>
  <c r="C154" i="16" s="1"/>
  <c r="C59" i="6"/>
  <c r="C139" i="16" s="1"/>
  <c r="C161" i="15"/>
  <c r="C174" i="15" s="1"/>
  <c r="C203" i="15" s="1"/>
  <c r="C46" i="6"/>
  <c r="C165" i="15"/>
  <c r="C178" i="15" s="1"/>
  <c r="C50" i="6"/>
  <c r="C65" i="6"/>
  <c r="C145" i="16" s="1"/>
  <c r="C80" i="6"/>
  <c r="C160" i="16" s="1"/>
  <c r="C164" i="15"/>
  <c r="C177" i="15" s="1"/>
  <c r="C49" i="6"/>
  <c r="C232" i="15"/>
  <c r="C46" i="11"/>
  <c r="C76" i="11"/>
  <c r="C61" i="11"/>
  <c r="C236" i="15"/>
  <c r="C249" i="15" s="1"/>
  <c r="C50" i="11"/>
  <c r="C235" i="15"/>
  <c r="C248" i="15" s="1"/>
  <c r="C49" i="11"/>
  <c r="C307" i="15"/>
  <c r="C320" i="15" s="1"/>
  <c r="C50" i="12"/>
  <c r="C304" i="15"/>
  <c r="C317" i="15" s="1"/>
  <c r="C346" i="15" s="1"/>
  <c r="C47" i="12"/>
  <c r="C308" i="15"/>
  <c r="C321" i="15" s="1"/>
  <c r="C350" i="15" s="1"/>
  <c r="C51" i="12"/>
  <c r="C306" i="15"/>
  <c r="C319" i="15" s="1"/>
  <c r="C49" i="12"/>
  <c r="C303" i="15"/>
  <c r="C316" i="15" s="1"/>
  <c r="C345" i="15" s="1"/>
  <c r="C46" i="12"/>
  <c r="C378" i="15"/>
  <c r="C391" i="15" s="1"/>
  <c r="C405" i="15" s="1"/>
  <c r="C50" i="13"/>
  <c r="C61" i="13"/>
  <c r="C76" i="13"/>
  <c r="C374" i="15"/>
  <c r="C387" i="15" s="1"/>
  <c r="C416" i="15" s="1"/>
  <c r="C46" i="13"/>
  <c r="D5" i="10"/>
  <c r="D33" i="10" s="1"/>
  <c r="D9" i="10"/>
  <c r="D37" i="10" s="1"/>
  <c r="D8" i="10"/>
  <c r="D36" i="10" s="1"/>
  <c r="D9" i="9"/>
  <c r="D37" i="9" s="1"/>
  <c r="D8" i="9"/>
  <c r="D6" i="9"/>
  <c r="D34" i="9" s="1"/>
  <c r="D47" i="9" s="1"/>
  <c r="D5" i="9"/>
  <c r="D33" i="9" s="1"/>
  <c r="D10" i="9"/>
  <c r="D38" i="9" s="1"/>
  <c r="D5" i="13"/>
  <c r="D33" i="13" s="1"/>
  <c r="D9" i="13"/>
  <c r="D37" i="13" s="1"/>
  <c r="D9" i="11"/>
  <c r="D37" i="11" s="1"/>
  <c r="D8" i="11"/>
  <c r="D36" i="11" s="1"/>
  <c r="D6" i="11"/>
  <c r="D34" i="11" s="1"/>
  <c r="D47" i="11" s="1"/>
  <c r="D5" i="11"/>
  <c r="D33" i="11" s="1"/>
  <c r="D8" i="12"/>
  <c r="D36" i="12" s="1"/>
  <c r="D6" i="12"/>
  <c r="D34" i="12" s="1"/>
  <c r="D5" i="12"/>
  <c r="D33" i="12" s="1"/>
  <c r="D10" i="12"/>
  <c r="D38" i="12" s="1"/>
  <c r="D9" i="12"/>
  <c r="D37" i="12" s="1"/>
  <c r="C65" i="15"/>
  <c r="C50" i="15"/>
  <c r="C24" i="15"/>
  <c r="C37" i="15" s="1"/>
  <c r="C160" i="15"/>
  <c r="C173" i="15" s="1"/>
  <c r="C117" i="15"/>
  <c r="C64" i="15"/>
  <c r="C49" i="15"/>
  <c r="C47" i="15"/>
  <c r="C62" i="15"/>
  <c r="C375" i="15"/>
  <c r="C388" i="15" s="1"/>
  <c r="C278" i="15"/>
  <c r="C263" i="15"/>
  <c r="C277" i="15"/>
  <c r="C333" i="15"/>
  <c r="C348" i="15"/>
  <c r="C120" i="15"/>
  <c r="C135" i="15"/>
  <c r="C188" i="15"/>
  <c r="C420" i="15"/>
  <c r="C401" i="15"/>
  <c r="C335" i="15"/>
  <c r="C121" i="15"/>
  <c r="C136" i="15"/>
  <c r="C233" i="15"/>
  <c r="C246" i="15" s="1"/>
  <c r="C166" i="15"/>
  <c r="C179" i="15" s="1"/>
  <c r="C191" i="15"/>
  <c r="C206" i="15"/>
  <c r="N52" i="10"/>
  <c r="C108" i="15"/>
  <c r="C122" i="15" s="1"/>
  <c r="C102" i="15"/>
  <c r="B73" i="15"/>
  <c r="B49" i="16" s="1"/>
  <c r="N53" i="11"/>
  <c r="N48" i="10"/>
  <c r="N44" i="10"/>
  <c r="N45" i="12"/>
  <c r="N54" i="10"/>
  <c r="N48" i="12"/>
  <c r="N47" i="10"/>
  <c r="N54" i="12"/>
  <c r="N53" i="10"/>
  <c r="N54" i="13"/>
  <c r="N45" i="11"/>
  <c r="N48" i="13"/>
  <c r="N52" i="9"/>
  <c r="N51" i="13"/>
  <c r="N54" i="11"/>
  <c r="N54" i="9"/>
  <c r="N49" i="13"/>
  <c r="N54" i="6"/>
  <c r="N44" i="9"/>
  <c r="N44" i="13"/>
  <c r="N47" i="6"/>
  <c r="N53" i="9"/>
  <c r="N53" i="13"/>
  <c r="N53" i="6"/>
  <c r="N53" i="12"/>
  <c r="N45" i="9"/>
  <c r="N45" i="13"/>
  <c r="N52" i="6"/>
  <c r="N48" i="11"/>
  <c r="N48" i="6"/>
  <c r="N51" i="11"/>
  <c r="N52" i="12"/>
  <c r="N44" i="6"/>
  <c r="N52" i="11"/>
  <c r="N48" i="9"/>
  <c r="N52" i="13"/>
  <c r="N44" i="12"/>
  <c r="C12" i="16"/>
  <c r="D57" i="9"/>
  <c r="D72" i="9"/>
  <c r="E2" i="10"/>
  <c r="D32" i="10"/>
  <c r="D38" i="10"/>
  <c r="C13" i="16"/>
  <c r="E2" i="11"/>
  <c r="D57" i="13"/>
  <c r="D72" i="13"/>
  <c r="D72" i="6"/>
  <c r="D57" i="6"/>
  <c r="D5" i="6"/>
  <c r="D33" i="6" s="1"/>
  <c r="D9" i="6"/>
  <c r="D37" i="6" s="1"/>
  <c r="D10" i="6"/>
  <c r="D38" i="6" s="1"/>
  <c r="D51" i="6" s="1"/>
  <c r="D8" i="6"/>
  <c r="D36" i="6" s="1"/>
  <c r="E2" i="6"/>
  <c r="D4" i="6"/>
  <c r="D32" i="6" s="1"/>
  <c r="D45" i="6" s="1"/>
  <c r="D27" i="8"/>
  <c r="D42" i="8"/>
  <c r="E2" i="12"/>
  <c r="E2" i="9"/>
  <c r="D36" i="9"/>
  <c r="C9" i="16"/>
  <c r="D57" i="12"/>
  <c r="D72" i="12"/>
  <c r="D57" i="10"/>
  <c r="D72" i="10"/>
  <c r="D72" i="11"/>
  <c r="D57" i="11"/>
  <c r="E2" i="13"/>
  <c r="D34" i="13"/>
  <c r="D47" i="13" s="1"/>
  <c r="C90" i="8" a="1"/>
  <c r="C96" i="8" a="1"/>
  <c r="C92" i="8" a="1"/>
  <c r="C511" i="15" l="1"/>
  <c r="C61" i="15"/>
  <c r="C330" i="15"/>
  <c r="C75" i="9"/>
  <c r="C37" i="16" s="1"/>
  <c r="C60" i="9"/>
  <c r="D24" i="15"/>
  <c r="D37" i="15" s="1"/>
  <c r="D51" i="9"/>
  <c r="D13" i="16" s="1"/>
  <c r="C8" i="16"/>
  <c r="D19" i="15"/>
  <c r="D32" i="15" s="1"/>
  <c r="D46" i="15" s="1"/>
  <c r="D46" i="9"/>
  <c r="D8" i="16" s="1"/>
  <c r="D76" i="9"/>
  <c r="D61" i="9"/>
  <c r="C79" i="9"/>
  <c r="C41" i="16" s="1"/>
  <c r="C64" i="9"/>
  <c r="C26" i="16" s="1"/>
  <c r="D22" i="15"/>
  <c r="D35" i="15" s="1"/>
  <c r="D64" i="15" s="1"/>
  <c r="D49" i="9"/>
  <c r="C22" i="16"/>
  <c r="D23" i="15"/>
  <c r="D36" i="15" s="1"/>
  <c r="D50" i="15" s="1"/>
  <c r="D50" i="9"/>
  <c r="D12" i="16" s="1"/>
  <c r="C61" i="9"/>
  <c r="C23" i="16" s="1"/>
  <c r="C76" i="9"/>
  <c r="C38" i="16" s="1"/>
  <c r="C63" i="9"/>
  <c r="C25" i="16" s="1"/>
  <c r="C78" i="9"/>
  <c r="C40" i="16" s="1"/>
  <c r="D94" i="15"/>
  <c r="D107" i="15" s="1"/>
  <c r="D121" i="15" s="1"/>
  <c r="D50" i="10"/>
  <c r="D71" i="16" s="1"/>
  <c r="C78" i="10"/>
  <c r="C99" i="16" s="1"/>
  <c r="C63" i="10"/>
  <c r="C84" i="16" s="1"/>
  <c r="D95" i="15"/>
  <c r="D51" i="10"/>
  <c r="D93" i="15"/>
  <c r="D106" i="15" s="1"/>
  <c r="D49" i="10"/>
  <c r="D70" i="16" s="1"/>
  <c r="C64" i="10"/>
  <c r="C85" i="16" s="1"/>
  <c r="C79" i="10"/>
  <c r="C100" i="16" s="1"/>
  <c r="D90" i="15"/>
  <c r="D103" i="15" s="1"/>
  <c r="D132" i="15" s="1"/>
  <c r="D46" i="10"/>
  <c r="C510" i="15"/>
  <c r="D89" i="15"/>
  <c r="D45" i="10"/>
  <c r="C60" i="10"/>
  <c r="C81" i="16" s="1"/>
  <c r="C75" i="10"/>
  <c r="C96" i="16" s="1"/>
  <c r="C74" i="10"/>
  <c r="C44" i="8" s="1"/>
  <c r="C59" i="10"/>
  <c r="C65" i="10"/>
  <c r="C86" i="16" s="1"/>
  <c r="C80" i="10"/>
  <c r="D165" i="15"/>
  <c r="D178" i="15" s="1"/>
  <c r="D50" i="6"/>
  <c r="D161" i="15"/>
  <c r="D174" i="15" s="1"/>
  <c r="D188" i="15" s="1"/>
  <c r="D46" i="6"/>
  <c r="D126" i="16" s="1"/>
  <c r="C79" i="6"/>
  <c r="C64" i="6"/>
  <c r="C75" i="6"/>
  <c r="C155" i="16" s="1"/>
  <c r="C60" i="6"/>
  <c r="C140" i="16" s="1"/>
  <c r="D65" i="6"/>
  <c r="D145" i="16" s="1"/>
  <c r="D80" i="6"/>
  <c r="D160" i="16" s="1"/>
  <c r="D59" i="6"/>
  <c r="D139" i="16" s="1"/>
  <c r="D74" i="6"/>
  <c r="D154" i="16" s="1"/>
  <c r="C63" i="6"/>
  <c r="C143" i="16" s="1"/>
  <c r="C78" i="6"/>
  <c r="C158" i="16" s="1"/>
  <c r="D164" i="15"/>
  <c r="D177" i="15" s="1"/>
  <c r="D191" i="15" s="1"/>
  <c r="D49" i="6"/>
  <c r="C63" i="11"/>
  <c r="C202" i="16" s="1"/>
  <c r="C455" i="16" s="1"/>
  <c r="C78" i="11"/>
  <c r="D232" i="15"/>
  <c r="D46" i="11"/>
  <c r="D185" i="16" s="1"/>
  <c r="C262" i="15"/>
  <c r="C465" i="15" s="1"/>
  <c r="D61" i="11"/>
  <c r="D76" i="11"/>
  <c r="C64" i="11"/>
  <c r="C203" i="16" s="1"/>
  <c r="C456" i="16" s="1"/>
  <c r="C79" i="11"/>
  <c r="C93" i="11" s="1"/>
  <c r="C232" i="16" s="1"/>
  <c r="D235" i="15"/>
  <c r="D248" i="15" s="1"/>
  <c r="D262" i="15" s="1"/>
  <c r="D49" i="11"/>
  <c r="D188" i="16" s="1"/>
  <c r="D236" i="15"/>
  <c r="D249" i="15" s="1"/>
  <c r="D278" i="15" s="1"/>
  <c r="D50" i="11"/>
  <c r="D189" i="16" s="1"/>
  <c r="C75" i="11"/>
  <c r="C60" i="11"/>
  <c r="C199" i="16" s="1"/>
  <c r="C452" i="16" s="1"/>
  <c r="D304" i="15"/>
  <c r="D317" i="15" s="1"/>
  <c r="D47" i="12"/>
  <c r="D245" i="16" s="1"/>
  <c r="C78" i="12"/>
  <c r="C63" i="12"/>
  <c r="C261" i="16" s="1"/>
  <c r="C331" i="15"/>
  <c r="D306" i="15"/>
  <c r="D319" i="15" s="1"/>
  <c r="D348" i="15" s="1"/>
  <c r="D49" i="12"/>
  <c r="C65" i="12"/>
  <c r="C263" i="16" s="1"/>
  <c r="C80" i="12"/>
  <c r="C278" i="16" s="1"/>
  <c r="D303" i="15"/>
  <c r="D316" i="15" s="1"/>
  <c r="D330" i="15" s="1"/>
  <c r="D46" i="12"/>
  <c r="D244" i="16" s="1"/>
  <c r="C76" i="12"/>
  <c r="C274" i="16" s="1"/>
  <c r="C61" i="12"/>
  <c r="C259" i="16" s="1"/>
  <c r="D307" i="15"/>
  <c r="D320" i="15" s="1"/>
  <c r="D50" i="12"/>
  <c r="D308" i="15"/>
  <c r="D321" i="15" s="1"/>
  <c r="D350" i="15" s="1"/>
  <c r="D51" i="12"/>
  <c r="C60" i="12"/>
  <c r="C258" i="16" s="1"/>
  <c r="C75" i="12"/>
  <c r="C273" i="16" s="1"/>
  <c r="C64" i="12"/>
  <c r="C262" i="16" s="1"/>
  <c r="C79" i="12"/>
  <c r="C277" i="16" s="1"/>
  <c r="D378" i="15"/>
  <c r="D391" i="15" s="1"/>
  <c r="D405" i="15" s="1"/>
  <c r="D50" i="13"/>
  <c r="D307" i="16" s="1"/>
  <c r="D374" i="15"/>
  <c r="D387" i="15" s="1"/>
  <c r="D401" i="15" s="1"/>
  <c r="D46" i="13"/>
  <c r="C75" i="13"/>
  <c r="C332" i="16" s="1"/>
  <c r="C60" i="13"/>
  <c r="C317" i="16" s="1"/>
  <c r="C64" i="13"/>
  <c r="C321" i="16" s="1"/>
  <c r="C79" i="13"/>
  <c r="C336" i="16" s="1"/>
  <c r="D61" i="13"/>
  <c r="D76" i="13"/>
  <c r="C90" i="8"/>
  <c r="C92" i="8"/>
  <c r="C96" i="8"/>
  <c r="C276" i="16"/>
  <c r="E9" i="13"/>
  <c r="E37" i="13" s="1"/>
  <c r="E5" i="13"/>
  <c r="E9" i="11"/>
  <c r="E37" i="11" s="1"/>
  <c r="E8" i="11"/>
  <c r="E6" i="11"/>
  <c r="E34" i="11" s="1"/>
  <c r="E47" i="11" s="1"/>
  <c r="E5" i="11"/>
  <c r="E33" i="11" s="1"/>
  <c r="E8" i="9"/>
  <c r="E5" i="9"/>
  <c r="E33" i="9" s="1"/>
  <c r="E6" i="9"/>
  <c r="E34" i="9" s="1"/>
  <c r="E10" i="9"/>
  <c r="E38" i="9" s="1"/>
  <c r="E51" i="9" s="1"/>
  <c r="E9" i="9"/>
  <c r="E37" i="9" s="1"/>
  <c r="E6" i="12"/>
  <c r="E5" i="12"/>
  <c r="E33" i="12" s="1"/>
  <c r="E10" i="12"/>
  <c r="E38" i="12" s="1"/>
  <c r="E9" i="12"/>
  <c r="E8" i="12"/>
  <c r="E36" i="12" s="1"/>
  <c r="E5" i="10"/>
  <c r="E33" i="10" s="1"/>
  <c r="E9" i="10"/>
  <c r="E37" i="10" s="1"/>
  <c r="E8" i="10"/>
  <c r="E36" i="10" s="1"/>
  <c r="C186" i="16"/>
  <c r="C307" i="16"/>
  <c r="C126" i="16"/>
  <c r="C303" i="16"/>
  <c r="C249" i="16"/>
  <c r="C304" i="16"/>
  <c r="C67" i="16"/>
  <c r="C72" i="16"/>
  <c r="C188" i="16"/>
  <c r="C66" i="16"/>
  <c r="C71" i="16"/>
  <c r="C125" i="16"/>
  <c r="C247" i="16"/>
  <c r="C130" i="16"/>
  <c r="C131" i="16"/>
  <c r="C185" i="16"/>
  <c r="C248" i="16"/>
  <c r="C244" i="16"/>
  <c r="C189" i="16"/>
  <c r="C70" i="16"/>
  <c r="C129" i="16"/>
  <c r="C245" i="16"/>
  <c r="C275" i="15"/>
  <c r="C215" i="16" s="1"/>
  <c r="C260" i="15"/>
  <c r="C463" i="15" s="1"/>
  <c r="C360" i="15"/>
  <c r="C402" i="15"/>
  <c r="C318" i="16" s="1"/>
  <c r="C417" i="15"/>
  <c r="C333" i="16" s="1"/>
  <c r="C193" i="15"/>
  <c r="C208" i="15"/>
  <c r="C187" i="15"/>
  <c r="C202" i="15"/>
  <c r="C508" i="15"/>
  <c r="C51" i="15"/>
  <c r="C66" i="15"/>
  <c r="C41" i="15"/>
  <c r="C519" i="15" s="1"/>
  <c r="C150" i="15"/>
  <c r="D375" i="15"/>
  <c r="D388" i="15" s="1"/>
  <c r="D51" i="15"/>
  <c r="D66" i="15"/>
  <c r="D117" i="15"/>
  <c r="C359" i="15"/>
  <c r="C362" i="15"/>
  <c r="C292" i="15"/>
  <c r="D206" i="15"/>
  <c r="C364" i="15"/>
  <c r="C78" i="15"/>
  <c r="C75" i="15"/>
  <c r="D160" i="15"/>
  <c r="D173" i="15" s="1"/>
  <c r="D233" i="15"/>
  <c r="D246" i="15" s="1"/>
  <c r="D166" i="15"/>
  <c r="D179" i="15" s="1"/>
  <c r="D136" i="15"/>
  <c r="D20" i="15"/>
  <c r="D33" i="15" s="1"/>
  <c r="D9" i="16" s="1"/>
  <c r="D120" i="15"/>
  <c r="D135" i="15"/>
  <c r="C506" i="15"/>
  <c r="C217" i="15"/>
  <c r="C479" i="15"/>
  <c r="C146" i="15"/>
  <c r="D331" i="15"/>
  <c r="D346" i="15"/>
  <c r="D263" i="15"/>
  <c r="C76" i="15"/>
  <c r="D345" i="15"/>
  <c r="C220" i="15"/>
  <c r="C430" i="15"/>
  <c r="C149" i="15"/>
  <c r="C79" i="15"/>
  <c r="L49" i="16"/>
  <c r="B60" i="16"/>
  <c r="B61" i="16" s="1"/>
  <c r="C512" i="15"/>
  <c r="B84" i="15"/>
  <c r="B31" i="7" s="1"/>
  <c r="C137" i="15"/>
  <c r="C151" i="15" s="1"/>
  <c r="D108" i="15"/>
  <c r="C116" i="15"/>
  <c r="C461" i="15" s="1"/>
  <c r="C131" i="15"/>
  <c r="C475" i="15" s="1"/>
  <c r="D102" i="15"/>
  <c r="K182" i="15"/>
  <c r="K134" i="16" s="1"/>
  <c r="C182" i="15"/>
  <c r="C134" i="16" s="1"/>
  <c r="J182" i="15"/>
  <c r="J134" i="16" s="1"/>
  <c r="B182" i="15"/>
  <c r="B134" i="16" s="1"/>
  <c r="I182" i="15"/>
  <c r="I134" i="16" s="1"/>
  <c r="H182" i="15"/>
  <c r="H134" i="16" s="1"/>
  <c r="D182" i="15"/>
  <c r="D134" i="16" s="1"/>
  <c r="G182" i="15"/>
  <c r="G134" i="16" s="1"/>
  <c r="F182" i="15"/>
  <c r="F134" i="16" s="1"/>
  <c r="E182" i="15"/>
  <c r="E134" i="16" s="1"/>
  <c r="C94" i="6"/>
  <c r="C174" i="16" s="1"/>
  <c r="D129" i="16"/>
  <c r="D131" i="16"/>
  <c r="C78" i="8"/>
  <c r="C55" i="6"/>
  <c r="C80" i="8"/>
  <c r="D67" i="16"/>
  <c r="E72" i="9"/>
  <c r="E57" i="9"/>
  <c r="C55" i="11"/>
  <c r="E57" i="12"/>
  <c r="E72" i="12"/>
  <c r="D130" i="16"/>
  <c r="D186" i="16"/>
  <c r="E32" i="10"/>
  <c r="E38" i="10"/>
  <c r="F2" i="10"/>
  <c r="C76" i="8"/>
  <c r="C79" i="8"/>
  <c r="D303" i="16"/>
  <c r="C90" i="11"/>
  <c r="E72" i="11"/>
  <c r="E57" i="11"/>
  <c r="C55" i="10"/>
  <c r="E57" i="10"/>
  <c r="E72" i="10"/>
  <c r="D249" i="16"/>
  <c r="E27" i="8"/>
  <c r="E42" i="8"/>
  <c r="E72" i="6"/>
  <c r="E57" i="6"/>
  <c r="C55" i="13"/>
  <c r="E36" i="9"/>
  <c r="F2" i="9"/>
  <c r="E34" i="12"/>
  <c r="F2" i="12"/>
  <c r="E37" i="12"/>
  <c r="D125" i="16"/>
  <c r="E57" i="13"/>
  <c r="E72" i="13"/>
  <c r="F2" i="11"/>
  <c r="E36" i="11"/>
  <c r="C75" i="8"/>
  <c r="C55" i="9"/>
  <c r="E33" i="13"/>
  <c r="F2" i="13"/>
  <c r="E34" i="13"/>
  <c r="E47" i="13" s="1"/>
  <c r="C90" i="13"/>
  <c r="E4" i="6"/>
  <c r="E32" i="6" s="1"/>
  <c r="E45" i="6" s="1"/>
  <c r="E5" i="6"/>
  <c r="E33" i="6" s="1"/>
  <c r="E9" i="6"/>
  <c r="E37" i="6" s="1"/>
  <c r="E8" i="6"/>
  <c r="E36" i="6" s="1"/>
  <c r="F2" i="6"/>
  <c r="E10" i="6"/>
  <c r="E38" i="6" s="1"/>
  <c r="E51" i="6" s="1"/>
  <c r="C88" i="6"/>
  <c r="C168" i="16" s="1"/>
  <c r="C94" i="9"/>
  <c r="C55" i="12"/>
  <c r="C95" i="8" a="1"/>
  <c r="C94" i="8" a="1"/>
  <c r="C91" i="8" a="1"/>
  <c r="D96" i="8" a="1"/>
  <c r="D90" i="8" a="1"/>
  <c r="D92" i="8" a="1"/>
  <c r="C31" i="8" l="1"/>
  <c r="C69" i="11"/>
  <c r="D416" i="15"/>
  <c r="D203" i="15"/>
  <c r="C92" i="12"/>
  <c r="C290" i="16" s="1"/>
  <c r="D49" i="15"/>
  <c r="C84" i="12"/>
  <c r="C15" i="8" s="1"/>
  <c r="C69" i="13"/>
  <c r="C46" i="8"/>
  <c r="C89" i="12"/>
  <c r="C287" i="16" s="1"/>
  <c r="C93" i="9"/>
  <c r="C84" i="9"/>
  <c r="C11" i="8" s="1"/>
  <c r="C93" i="12"/>
  <c r="C291" i="16" s="1"/>
  <c r="D333" i="15"/>
  <c r="C93" i="10"/>
  <c r="C114" i="16" s="1"/>
  <c r="D61" i="15"/>
  <c r="C84" i="11"/>
  <c r="C88" i="10"/>
  <c r="C69" i="9"/>
  <c r="C3" i="8" s="1"/>
  <c r="C90" i="9"/>
  <c r="C52" i="16" s="1"/>
  <c r="C90" i="12"/>
  <c r="C288" i="16" s="1"/>
  <c r="C84" i="6"/>
  <c r="C92" i="6"/>
  <c r="C172" i="16" s="1"/>
  <c r="C92" i="11"/>
  <c r="C231" i="16" s="1"/>
  <c r="C69" i="10"/>
  <c r="C4" i="8" s="1"/>
  <c r="C35" i="8"/>
  <c r="C84" i="10"/>
  <c r="C12" i="8" s="1"/>
  <c r="E20" i="15"/>
  <c r="E33" i="15" s="1"/>
  <c r="E62" i="15" s="1"/>
  <c r="E47" i="9"/>
  <c r="E80" i="9"/>
  <c r="E65" i="9"/>
  <c r="E27" i="16" s="1"/>
  <c r="C89" i="9"/>
  <c r="E19" i="15"/>
  <c r="E32" i="15" s="1"/>
  <c r="E46" i="9"/>
  <c r="D75" i="9"/>
  <c r="D37" i="16" s="1"/>
  <c r="D60" i="9"/>
  <c r="D22" i="16" s="1"/>
  <c r="C48" i="8"/>
  <c r="C92" i="9"/>
  <c r="D78" i="9"/>
  <c r="D40" i="16" s="1"/>
  <c r="D63" i="9"/>
  <c r="D25" i="16" s="1"/>
  <c r="D65" i="15"/>
  <c r="D80" i="9"/>
  <c r="D42" i="16" s="1"/>
  <c r="D65" i="9"/>
  <c r="D27" i="16" s="1"/>
  <c r="D11" i="16"/>
  <c r="D17" i="16" s="1"/>
  <c r="D416" i="16" s="1"/>
  <c r="E22" i="15"/>
  <c r="E35" i="15" s="1"/>
  <c r="E49" i="15" s="1"/>
  <c r="E49" i="9"/>
  <c r="E23" i="15"/>
  <c r="E36" i="15" s="1"/>
  <c r="E50" i="9"/>
  <c r="D64" i="9"/>
  <c r="D26" i="16" s="1"/>
  <c r="D79" i="9"/>
  <c r="D41" i="16" s="1"/>
  <c r="D80" i="10"/>
  <c r="D65" i="10"/>
  <c r="E90" i="15"/>
  <c r="E103" i="15" s="1"/>
  <c r="E46" i="10"/>
  <c r="E95" i="15"/>
  <c r="E51" i="10"/>
  <c r="C94" i="10"/>
  <c r="C115" i="16" s="1"/>
  <c r="C29" i="8"/>
  <c r="E89" i="15"/>
  <c r="E102" i="15" s="1"/>
  <c r="E45" i="10"/>
  <c r="C34" i="8"/>
  <c r="C92" i="10"/>
  <c r="C113" i="16" s="1"/>
  <c r="D74" i="10"/>
  <c r="D59" i="10"/>
  <c r="D63" i="10"/>
  <c r="D84" i="16" s="1"/>
  <c r="D78" i="10"/>
  <c r="D99" i="16" s="1"/>
  <c r="D511" i="15"/>
  <c r="C375" i="16"/>
  <c r="D75" i="10"/>
  <c r="D96" i="16" s="1"/>
  <c r="D60" i="10"/>
  <c r="E93" i="15"/>
  <c r="E106" i="15" s="1"/>
  <c r="E49" i="10"/>
  <c r="D72" i="16"/>
  <c r="D366" i="16" s="1"/>
  <c r="E94" i="15"/>
  <c r="E107" i="15" s="1"/>
  <c r="E121" i="15" s="1"/>
  <c r="E50" i="10"/>
  <c r="C50" i="8"/>
  <c r="C89" i="10"/>
  <c r="C110" i="16" s="1"/>
  <c r="D81" i="16"/>
  <c r="D79" i="10"/>
  <c r="D100" i="16" s="1"/>
  <c r="D64" i="10"/>
  <c r="D85" i="16" s="1"/>
  <c r="D63" i="6"/>
  <c r="D143" i="16" s="1"/>
  <c r="D78" i="6"/>
  <c r="D158" i="16" s="1"/>
  <c r="E80" i="6"/>
  <c r="E160" i="16" s="1"/>
  <c r="E65" i="6"/>
  <c r="E145" i="16" s="1"/>
  <c r="C30" i="8"/>
  <c r="C69" i="6"/>
  <c r="E164" i="15"/>
  <c r="E177" i="15" s="1"/>
  <c r="E49" i="6"/>
  <c r="C33" i="8"/>
  <c r="C93" i="6"/>
  <c r="D75" i="6"/>
  <c r="D155" i="16" s="1"/>
  <c r="D60" i="6"/>
  <c r="D140" i="16" s="1"/>
  <c r="E59" i="6"/>
  <c r="E139" i="16" s="1"/>
  <c r="E74" i="6"/>
  <c r="E154" i="16" s="1"/>
  <c r="E165" i="15"/>
  <c r="E178" i="15" s="1"/>
  <c r="E50" i="6"/>
  <c r="E161" i="15"/>
  <c r="E174" i="15" s="1"/>
  <c r="E203" i="15" s="1"/>
  <c r="E46" i="6"/>
  <c r="C89" i="6"/>
  <c r="C169" i="16" s="1"/>
  <c r="D64" i="6"/>
  <c r="D79" i="6"/>
  <c r="C378" i="16"/>
  <c r="C91" i="8"/>
  <c r="C94" i="8"/>
  <c r="C95" i="8"/>
  <c r="D510" i="15"/>
  <c r="C45" i="8"/>
  <c r="C291" i="15"/>
  <c r="C493" i="15" s="1"/>
  <c r="C89" i="11"/>
  <c r="C228" i="16" s="1"/>
  <c r="D64" i="11"/>
  <c r="D203" i="16" s="1"/>
  <c r="D456" i="16" s="1"/>
  <c r="D79" i="11"/>
  <c r="E61" i="11"/>
  <c r="E76" i="11"/>
  <c r="D277" i="15"/>
  <c r="D75" i="11"/>
  <c r="D60" i="11"/>
  <c r="D199" i="16" s="1"/>
  <c r="D452" i="16" s="1"/>
  <c r="E236" i="15"/>
  <c r="E249" i="15" s="1"/>
  <c r="E278" i="15" s="1"/>
  <c r="E50" i="11"/>
  <c r="D78" i="11"/>
  <c r="D63" i="11"/>
  <c r="D202" i="16" s="1"/>
  <c r="D455" i="16" s="1"/>
  <c r="E235" i="15"/>
  <c r="E248" i="15" s="1"/>
  <c r="E49" i="11"/>
  <c r="C214" i="16"/>
  <c r="C467" i="16" s="1"/>
  <c r="C217" i="16"/>
  <c r="C470" i="16" s="1"/>
  <c r="E232" i="15"/>
  <c r="E46" i="11"/>
  <c r="C218" i="16"/>
  <c r="C471" i="16" s="1"/>
  <c r="D78" i="12"/>
  <c r="D276" i="16" s="1"/>
  <c r="D63" i="12"/>
  <c r="D261" i="16" s="1"/>
  <c r="C69" i="12"/>
  <c r="C7" i="8" s="1"/>
  <c r="D335" i="15"/>
  <c r="D364" i="15" s="1"/>
  <c r="E308" i="15"/>
  <c r="E321" i="15" s="1"/>
  <c r="E335" i="15" s="1"/>
  <c r="E51" i="12"/>
  <c r="D64" i="12"/>
  <c r="D262" i="16" s="1"/>
  <c r="D79" i="12"/>
  <c r="D277" i="16" s="1"/>
  <c r="C94" i="12"/>
  <c r="C292" i="16" s="1"/>
  <c r="C380" i="16"/>
  <c r="E303" i="15"/>
  <c r="E316" i="15" s="1"/>
  <c r="E46" i="12"/>
  <c r="D248" i="16"/>
  <c r="D365" i="16" s="1"/>
  <c r="D60" i="12"/>
  <c r="D258" i="16" s="1"/>
  <c r="D75" i="12"/>
  <c r="D273" i="16" s="1"/>
  <c r="E304" i="15"/>
  <c r="E317" i="15" s="1"/>
  <c r="E346" i="15" s="1"/>
  <c r="E47" i="12"/>
  <c r="D247" i="16"/>
  <c r="E306" i="15"/>
  <c r="E319" i="15" s="1"/>
  <c r="E333" i="15" s="1"/>
  <c r="E49" i="12"/>
  <c r="D61" i="12"/>
  <c r="D259" i="16" s="1"/>
  <c r="D76" i="12"/>
  <c r="D46" i="8" s="1"/>
  <c r="E307" i="15"/>
  <c r="E320" i="15" s="1"/>
  <c r="E50" i="12"/>
  <c r="D65" i="12"/>
  <c r="D263" i="16" s="1"/>
  <c r="D80" i="12"/>
  <c r="D278" i="16" s="1"/>
  <c r="E378" i="15"/>
  <c r="E391" i="15" s="1"/>
  <c r="E405" i="15" s="1"/>
  <c r="E50" i="13"/>
  <c r="C84" i="13"/>
  <c r="C16" i="8" s="1"/>
  <c r="E61" i="13"/>
  <c r="E76" i="13"/>
  <c r="C93" i="13"/>
  <c r="C350" i="16" s="1"/>
  <c r="D420" i="15"/>
  <c r="D75" i="13"/>
  <c r="D332" i="16" s="1"/>
  <c r="D60" i="13"/>
  <c r="D317" i="16" s="1"/>
  <c r="E374" i="15"/>
  <c r="E387" i="15" s="1"/>
  <c r="E401" i="15" s="1"/>
  <c r="E46" i="13"/>
  <c r="C89" i="13"/>
  <c r="C346" i="16" s="1"/>
  <c r="C49" i="8"/>
  <c r="C63" i="8" s="1"/>
  <c r="D79" i="13"/>
  <c r="D336" i="16" s="1"/>
  <c r="D64" i="13"/>
  <c r="D321" i="16" s="1"/>
  <c r="C200" i="16"/>
  <c r="C453" i="16" s="1"/>
  <c r="D90" i="8"/>
  <c r="C457" i="16"/>
  <c r="C391" i="16"/>
  <c r="C477" i="15"/>
  <c r="C468" i="16"/>
  <c r="D96" i="8"/>
  <c r="D92" i="8"/>
  <c r="D66" i="16"/>
  <c r="D304" i="16"/>
  <c r="D312" i="16" s="1"/>
  <c r="D421" i="16" s="1"/>
  <c r="C361" i="16"/>
  <c r="F9" i="11"/>
  <c r="F37" i="11" s="1"/>
  <c r="F8" i="11"/>
  <c r="F36" i="11" s="1"/>
  <c r="F6" i="11"/>
  <c r="F34" i="11" s="1"/>
  <c r="F47" i="11" s="1"/>
  <c r="F5" i="11"/>
  <c r="F33" i="11" s="1"/>
  <c r="F9" i="10"/>
  <c r="F37" i="10" s="1"/>
  <c r="F8" i="10"/>
  <c r="F36" i="10" s="1"/>
  <c r="F5" i="10"/>
  <c r="F33" i="10" s="1"/>
  <c r="F6" i="12"/>
  <c r="F34" i="12" s="1"/>
  <c r="F5" i="12"/>
  <c r="F33" i="12" s="1"/>
  <c r="F10" i="12"/>
  <c r="F38" i="12" s="1"/>
  <c r="F9" i="12"/>
  <c r="F8" i="12"/>
  <c r="F9" i="13"/>
  <c r="F37" i="13" s="1"/>
  <c r="F5" i="13"/>
  <c r="F33" i="13" s="1"/>
  <c r="F6" i="9"/>
  <c r="F34" i="9" s="1"/>
  <c r="F10" i="9"/>
  <c r="F38" i="9" s="1"/>
  <c r="F9" i="9"/>
  <c r="F37" i="9" s="1"/>
  <c r="F5" i="9"/>
  <c r="F33" i="9" s="1"/>
  <c r="F8" i="9"/>
  <c r="C366" i="16"/>
  <c r="C362" i="16"/>
  <c r="C326" i="16"/>
  <c r="C429" i="16" s="1"/>
  <c r="C54" i="16"/>
  <c r="C80" i="16"/>
  <c r="C451" i="16" s="1"/>
  <c r="C101" i="16"/>
  <c r="C472" i="16" s="1"/>
  <c r="C95" i="16"/>
  <c r="C466" i="16" s="1"/>
  <c r="C51" i="16"/>
  <c r="C55" i="16"/>
  <c r="C364" i="16"/>
  <c r="C56" i="16"/>
  <c r="D361" i="16"/>
  <c r="C253" i="16"/>
  <c r="C420" i="16" s="1"/>
  <c r="C76" i="16"/>
  <c r="C417" i="16" s="1"/>
  <c r="C360" i="16"/>
  <c r="C312" i="16"/>
  <c r="C421" i="16" s="1"/>
  <c r="L134" i="16"/>
  <c r="C341" i="16"/>
  <c r="C365" i="16"/>
  <c r="B85" i="15"/>
  <c r="B543" i="15"/>
  <c r="B440" i="16"/>
  <c r="D359" i="15"/>
  <c r="C216" i="15"/>
  <c r="C70" i="15"/>
  <c r="C535" i="15" s="1"/>
  <c r="D430" i="15"/>
  <c r="C222" i="15"/>
  <c r="D217" i="15"/>
  <c r="D465" i="15"/>
  <c r="C431" i="15"/>
  <c r="C347" i="16" s="1"/>
  <c r="D360" i="15"/>
  <c r="D291" i="15"/>
  <c r="C289" i="15"/>
  <c r="C229" i="16" s="1"/>
  <c r="D150" i="15"/>
  <c r="D202" i="15"/>
  <c r="D187" i="15"/>
  <c r="C31" i="16"/>
  <c r="C424" i="16" s="1"/>
  <c r="C449" i="15"/>
  <c r="D506" i="15"/>
  <c r="C481" i="15"/>
  <c r="D146" i="15"/>
  <c r="D80" i="15"/>
  <c r="D193" i="15"/>
  <c r="D208" i="15"/>
  <c r="D275" i="15"/>
  <c r="D215" i="16" s="1"/>
  <c r="D260" i="15"/>
  <c r="D200" i="16" s="1"/>
  <c r="D402" i="15"/>
  <c r="D318" i="16" s="1"/>
  <c r="D417" i="15"/>
  <c r="D333" i="16" s="1"/>
  <c r="D62" i="15"/>
  <c r="D38" i="16" s="1"/>
  <c r="D47" i="15"/>
  <c r="D41" i="15"/>
  <c r="D519" i="15" s="1"/>
  <c r="D508" i="15"/>
  <c r="E348" i="15"/>
  <c r="E262" i="15"/>
  <c r="E277" i="15"/>
  <c r="E24" i="15"/>
  <c r="E37" i="15" s="1"/>
  <c r="E136" i="15"/>
  <c r="C80" i="15"/>
  <c r="C495" i="15" s="1"/>
  <c r="D149" i="15"/>
  <c r="D79" i="15"/>
  <c r="D512" i="15"/>
  <c r="E61" i="15"/>
  <c r="E46" i="15"/>
  <c r="E166" i="15"/>
  <c r="E179" i="15" s="1"/>
  <c r="E208" i="15" s="1"/>
  <c r="E330" i="15"/>
  <c r="E345" i="15"/>
  <c r="E120" i="15"/>
  <c r="E135" i="15"/>
  <c r="E375" i="15"/>
  <c r="E388" i="15" s="1"/>
  <c r="E117" i="15"/>
  <c r="E132" i="15"/>
  <c r="D75" i="15"/>
  <c r="E191" i="15"/>
  <c r="E206" i="15"/>
  <c r="D292" i="15"/>
  <c r="D220" i="15"/>
  <c r="E160" i="15"/>
  <c r="E173" i="15" s="1"/>
  <c r="E187" i="15" s="1"/>
  <c r="C17" i="16"/>
  <c r="C416" i="16" s="1"/>
  <c r="D78" i="15"/>
  <c r="D479" i="15"/>
  <c r="E64" i="15"/>
  <c r="E233" i="15"/>
  <c r="E246" i="15" s="1"/>
  <c r="E188" i="15"/>
  <c r="E50" i="15"/>
  <c r="E65" i="15"/>
  <c r="C55" i="15"/>
  <c r="C467" i="15"/>
  <c r="D362" i="15"/>
  <c r="D122" i="15"/>
  <c r="D467" i="15" s="1"/>
  <c r="D137" i="15"/>
  <c r="D481" i="15" s="1"/>
  <c r="E108" i="15"/>
  <c r="C145" i="15"/>
  <c r="C109" i="16" s="1"/>
  <c r="C480" i="16" s="1"/>
  <c r="D116" i="15"/>
  <c r="D461" i="15" s="1"/>
  <c r="D131" i="15"/>
  <c r="D475" i="15" s="1"/>
  <c r="L111" i="15"/>
  <c r="C6" i="8"/>
  <c r="C8" i="8"/>
  <c r="C5" i="8"/>
  <c r="C13" i="8"/>
  <c r="C14" i="8"/>
  <c r="D80" i="8"/>
  <c r="D94" i="6"/>
  <c r="D174" i="16" s="1"/>
  <c r="D90" i="9"/>
  <c r="D92" i="11"/>
  <c r="D231" i="16" s="1"/>
  <c r="C84" i="8"/>
  <c r="D93" i="10"/>
  <c r="D114" i="16" s="1"/>
  <c r="N47" i="13"/>
  <c r="F34" i="13"/>
  <c r="F47" i="13" s="1"/>
  <c r="G2" i="13"/>
  <c r="E42" i="16"/>
  <c r="D55" i="10"/>
  <c r="D92" i="6"/>
  <c r="D172" i="16" s="1"/>
  <c r="G2" i="11"/>
  <c r="F42" i="8"/>
  <c r="F27" i="8"/>
  <c r="C60" i="8"/>
  <c r="D55" i="13"/>
  <c r="D44" i="8"/>
  <c r="F72" i="13"/>
  <c r="F57" i="13"/>
  <c r="C58" i="8"/>
  <c r="F72" i="10"/>
  <c r="F57" i="10"/>
  <c r="F57" i="11"/>
  <c r="F72" i="11"/>
  <c r="D55" i="11"/>
  <c r="F38" i="10"/>
  <c r="F32" i="10"/>
  <c r="G2" i="10"/>
  <c r="F57" i="9"/>
  <c r="F72" i="9"/>
  <c r="D92" i="12"/>
  <c r="D290" i="16" s="1"/>
  <c r="D55" i="12"/>
  <c r="G2" i="12"/>
  <c r="F37" i="12"/>
  <c r="F36" i="12"/>
  <c r="F4" i="6"/>
  <c r="F32" i="6" s="1"/>
  <c r="F45" i="6" s="1"/>
  <c r="F10" i="6"/>
  <c r="F38" i="6" s="1"/>
  <c r="F51" i="6" s="1"/>
  <c r="F9" i="6"/>
  <c r="F37" i="6" s="1"/>
  <c r="F8" i="6"/>
  <c r="F36" i="6" s="1"/>
  <c r="F5" i="6"/>
  <c r="F33" i="6" s="1"/>
  <c r="G2" i="6"/>
  <c r="D55" i="6"/>
  <c r="C98" i="10"/>
  <c r="D76" i="8"/>
  <c r="D90" i="11"/>
  <c r="D78" i="8"/>
  <c r="D88" i="6"/>
  <c r="D168" i="16" s="1"/>
  <c r="F36" i="9"/>
  <c r="G2" i="9"/>
  <c r="D49" i="8"/>
  <c r="D33" i="8"/>
  <c r="D75" i="8"/>
  <c r="D55" i="9"/>
  <c r="N51" i="10"/>
  <c r="F72" i="6"/>
  <c r="F57" i="6"/>
  <c r="D79" i="8"/>
  <c r="N45" i="10"/>
  <c r="F57" i="12"/>
  <c r="F72" i="12"/>
  <c r="D90" i="13"/>
  <c r="D89" i="10"/>
  <c r="D110" i="16" s="1"/>
  <c r="D29" i="8"/>
  <c r="C27" i="1" a="1"/>
  <c r="C29" i="1" a="1"/>
  <c r="E90" i="8" a="1"/>
  <c r="E96" i="8" a="1"/>
  <c r="D95" i="8" a="1"/>
  <c r="D94" i="8" a="1"/>
  <c r="D91" i="8" a="1"/>
  <c r="E92" i="8" a="1"/>
  <c r="D88" i="10" l="1"/>
  <c r="D92" i="9"/>
  <c r="C101" i="11"/>
  <c r="D89" i="12"/>
  <c r="D287" i="16" s="1"/>
  <c r="C101" i="13"/>
  <c r="D93" i="12"/>
  <c r="D291" i="16" s="1"/>
  <c r="C101" i="10"/>
  <c r="C172" i="15" s="1"/>
  <c r="D94" i="12"/>
  <c r="D292" i="16" s="1"/>
  <c r="D93" i="13"/>
  <c r="D350" i="16" s="1"/>
  <c r="D84" i="12"/>
  <c r="D15" i="8" s="1"/>
  <c r="D34" i="8"/>
  <c r="D35" i="8"/>
  <c r="D364" i="16"/>
  <c r="D94" i="9"/>
  <c r="D56" i="16" s="1"/>
  <c r="D93" i="6"/>
  <c r="D94" i="10"/>
  <c r="D89" i="11"/>
  <c r="D228" i="16" s="1"/>
  <c r="D84" i="11"/>
  <c r="D14" i="8" s="1"/>
  <c r="D69" i="10"/>
  <c r="D4" i="8" s="1"/>
  <c r="D69" i="9"/>
  <c r="D3" i="8" s="1"/>
  <c r="C98" i="12"/>
  <c r="E416" i="15"/>
  <c r="C101" i="12"/>
  <c r="D31" i="8"/>
  <c r="E350" i="15"/>
  <c r="E364" i="15" s="1"/>
  <c r="D69" i="11"/>
  <c r="D6" i="8" s="1"/>
  <c r="E47" i="15"/>
  <c r="C64" i="8"/>
  <c r="D50" i="8"/>
  <c r="C98" i="9"/>
  <c r="C101" i="9"/>
  <c r="C390" i="16"/>
  <c r="D253" i="16"/>
  <c r="D420" i="16" s="1"/>
  <c r="C62" i="8"/>
  <c r="C101" i="6"/>
  <c r="C98" i="6"/>
  <c r="D84" i="6"/>
  <c r="D13" i="8" s="1"/>
  <c r="F19" i="15"/>
  <c r="F32" i="15" s="1"/>
  <c r="F46" i="9"/>
  <c r="F8" i="16" s="1"/>
  <c r="F23" i="15"/>
  <c r="F36" i="15" s="1"/>
  <c r="F50" i="9"/>
  <c r="D93" i="9"/>
  <c r="D55" i="16" s="1"/>
  <c r="F24" i="15"/>
  <c r="F37" i="15" s="1"/>
  <c r="F51" i="15" s="1"/>
  <c r="F51" i="9"/>
  <c r="F20" i="15"/>
  <c r="F33" i="15" s="1"/>
  <c r="F47" i="15" s="1"/>
  <c r="F47" i="9"/>
  <c r="E64" i="9"/>
  <c r="E26" i="16" s="1"/>
  <c r="E79" i="9"/>
  <c r="E41" i="16" s="1"/>
  <c r="E60" i="9"/>
  <c r="E22" i="16" s="1"/>
  <c r="E75" i="9"/>
  <c r="E37" i="16" s="1"/>
  <c r="D89" i="9"/>
  <c r="D51" i="16" s="1"/>
  <c r="D84" i="9"/>
  <c r="D11" i="8" s="1"/>
  <c r="D48" i="8"/>
  <c r="E41" i="15"/>
  <c r="E519" i="15" s="1"/>
  <c r="D375" i="16"/>
  <c r="E78" i="9"/>
  <c r="E40" i="16" s="1"/>
  <c r="E63" i="9"/>
  <c r="E25" i="16" s="1"/>
  <c r="F22" i="15"/>
  <c r="F35" i="15" s="1"/>
  <c r="F49" i="9"/>
  <c r="E76" i="9"/>
  <c r="E38" i="16" s="1"/>
  <c r="E61" i="9"/>
  <c r="E23" i="16" s="1"/>
  <c r="D378" i="16"/>
  <c r="F89" i="15"/>
  <c r="F102" i="15" s="1"/>
  <c r="F45" i="10"/>
  <c r="D92" i="10"/>
  <c r="D113" i="16" s="1"/>
  <c r="E78" i="10"/>
  <c r="E99" i="16" s="1"/>
  <c r="E63" i="10"/>
  <c r="E84" i="16" s="1"/>
  <c r="E65" i="10"/>
  <c r="E80" i="10"/>
  <c r="F95" i="15"/>
  <c r="F108" i="15" s="1"/>
  <c r="F51" i="10"/>
  <c r="F90" i="15"/>
  <c r="F103" i="15" s="1"/>
  <c r="F46" i="10"/>
  <c r="F67" i="16" s="1"/>
  <c r="F93" i="15"/>
  <c r="F106" i="15" s="1"/>
  <c r="F135" i="15" s="1"/>
  <c r="F49" i="10"/>
  <c r="E60" i="10"/>
  <c r="E81" i="16" s="1"/>
  <c r="E75" i="10"/>
  <c r="E96" i="16" s="1"/>
  <c r="D84" i="10"/>
  <c r="D12" i="8" s="1"/>
  <c r="F94" i="15"/>
  <c r="F107" i="15" s="1"/>
  <c r="F121" i="15" s="1"/>
  <c r="F50" i="10"/>
  <c r="F71" i="16" s="1"/>
  <c r="C39" i="8"/>
  <c r="D76" i="16"/>
  <c r="D417" i="16" s="1"/>
  <c r="E59" i="10"/>
  <c r="E74" i="10"/>
  <c r="E64" i="10"/>
  <c r="E85" i="16" s="1"/>
  <c r="E79" i="10"/>
  <c r="E100" i="16" s="1"/>
  <c r="F80" i="6"/>
  <c r="F160" i="16" s="1"/>
  <c r="F65" i="6"/>
  <c r="F145" i="16" s="1"/>
  <c r="C59" i="8"/>
  <c r="D69" i="6"/>
  <c r="D5" i="8" s="1"/>
  <c r="E79" i="6"/>
  <c r="E64" i="6"/>
  <c r="E78" i="6"/>
  <c r="E158" i="16" s="1"/>
  <c r="E63" i="6"/>
  <c r="E143" i="16" s="1"/>
  <c r="F165" i="15"/>
  <c r="F178" i="15" s="1"/>
  <c r="F192" i="15" s="1"/>
  <c r="F50" i="6"/>
  <c r="F130" i="16" s="1"/>
  <c r="F161" i="15"/>
  <c r="F174" i="15" s="1"/>
  <c r="F46" i="6"/>
  <c r="F126" i="16" s="1"/>
  <c r="C100" i="8"/>
  <c r="F74" i="6"/>
  <c r="F154" i="16" s="1"/>
  <c r="F59" i="6"/>
  <c r="D89" i="6"/>
  <c r="D169" i="16" s="1"/>
  <c r="E60" i="6"/>
  <c r="E140" i="16" s="1"/>
  <c r="E75" i="6"/>
  <c r="E155" i="16" s="1"/>
  <c r="F164" i="15"/>
  <c r="F177" i="15" s="1"/>
  <c r="F49" i="6"/>
  <c r="F129" i="16" s="1"/>
  <c r="D91" i="8"/>
  <c r="D94" i="8"/>
  <c r="D95" i="8"/>
  <c r="F61" i="11"/>
  <c r="F76" i="11"/>
  <c r="F236" i="15"/>
  <c r="F249" i="15" s="1"/>
  <c r="F278" i="15" s="1"/>
  <c r="F50" i="11"/>
  <c r="F189" i="16" s="1"/>
  <c r="D93" i="11"/>
  <c r="D232" i="16" s="1"/>
  <c r="D214" i="16"/>
  <c r="D390" i="16" s="1"/>
  <c r="C393" i="16"/>
  <c r="F235" i="15"/>
  <c r="F248" i="15" s="1"/>
  <c r="F510" i="15" s="1"/>
  <c r="F49" i="11"/>
  <c r="F188" i="16" s="1"/>
  <c r="D30" i="8"/>
  <c r="E263" i="15"/>
  <c r="E78" i="11"/>
  <c r="E63" i="11"/>
  <c r="E202" i="16" s="1"/>
  <c r="C98" i="11"/>
  <c r="F232" i="15"/>
  <c r="F46" i="11"/>
  <c r="F185" i="16" s="1"/>
  <c r="D217" i="16"/>
  <c r="D393" i="16" s="1"/>
  <c r="D218" i="16"/>
  <c r="D471" i="16" s="1"/>
  <c r="E60" i="11"/>
  <c r="E199" i="16" s="1"/>
  <c r="E75" i="11"/>
  <c r="E64" i="11"/>
  <c r="E203" i="16" s="1"/>
  <c r="E456" i="16" s="1"/>
  <c r="E79" i="11"/>
  <c r="F308" i="15"/>
  <c r="F321" i="15" s="1"/>
  <c r="F51" i="12"/>
  <c r="F249" i="16" s="1"/>
  <c r="F303" i="15"/>
  <c r="F316" i="15" s="1"/>
  <c r="F330" i="15" s="1"/>
  <c r="F46" i="12"/>
  <c r="E64" i="12"/>
  <c r="E262" i="16" s="1"/>
  <c r="E79" i="12"/>
  <c r="D69" i="12"/>
  <c r="D7" i="8" s="1"/>
  <c r="D23" i="8" s="1"/>
  <c r="E510" i="15"/>
  <c r="F304" i="15"/>
  <c r="F317" i="15" s="1"/>
  <c r="F47" i="12"/>
  <c r="D90" i="12"/>
  <c r="D288" i="16" s="1"/>
  <c r="C54" i="8"/>
  <c r="E331" i="15"/>
  <c r="D274" i="16"/>
  <c r="D391" i="16" s="1"/>
  <c r="F307" i="15"/>
  <c r="F320" i="15" s="1"/>
  <c r="F50" i="12"/>
  <c r="E80" i="12"/>
  <c r="E278" i="16" s="1"/>
  <c r="E65" i="12"/>
  <c r="E263" i="16" s="1"/>
  <c r="E63" i="12"/>
  <c r="E261" i="16" s="1"/>
  <c r="E78" i="12"/>
  <c r="E276" i="16" s="1"/>
  <c r="E75" i="12"/>
  <c r="E273" i="16" s="1"/>
  <c r="E60" i="12"/>
  <c r="E258" i="16" s="1"/>
  <c r="F306" i="15"/>
  <c r="F319" i="15" s="1"/>
  <c r="F348" i="15" s="1"/>
  <c r="F49" i="12"/>
  <c r="E76" i="12"/>
  <c r="E274" i="16" s="1"/>
  <c r="E61" i="12"/>
  <c r="D45" i="8"/>
  <c r="E511" i="15"/>
  <c r="E420" i="15"/>
  <c r="E75" i="13"/>
  <c r="E332" i="16" s="1"/>
  <c r="E60" i="13"/>
  <c r="E317" i="16" s="1"/>
  <c r="D69" i="13"/>
  <c r="D8" i="8" s="1"/>
  <c r="D89" i="13"/>
  <c r="D346" i="16" s="1"/>
  <c r="F61" i="13"/>
  <c r="F76" i="13"/>
  <c r="F374" i="15"/>
  <c r="F387" i="15" s="1"/>
  <c r="F416" i="15" s="1"/>
  <c r="F46" i="13"/>
  <c r="F303" i="16" s="1"/>
  <c r="D84" i="13"/>
  <c r="D16" i="8" s="1"/>
  <c r="C98" i="13"/>
  <c r="F378" i="15"/>
  <c r="F391" i="15" s="1"/>
  <c r="F50" i="13"/>
  <c r="F307" i="16" s="1"/>
  <c r="E79" i="13"/>
  <c r="E336" i="16" s="1"/>
  <c r="E64" i="13"/>
  <c r="E321" i="16" s="1"/>
  <c r="D55" i="15"/>
  <c r="D527" i="15" s="1"/>
  <c r="D23" i="16"/>
  <c r="D453" i="16" s="1"/>
  <c r="D468" i="16"/>
  <c r="C376" i="16"/>
  <c r="C27" i="1"/>
  <c r="C29" i="1"/>
  <c r="E90" i="8"/>
  <c r="C491" i="15"/>
  <c r="E248" i="16"/>
  <c r="N50" i="12"/>
  <c r="E125" i="16"/>
  <c r="N45" i="6"/>
  <c r="E70" i="16"/>
  <c r="N49" i="10"/>
  <c r="E188" i="16"/>
  <c r="N49" i="11"/>
  <c r="E249" i="16"/>
  <c r="N51" i="12"/>
  <c r="E129" i="16"/>
  <c r="N49" i="6"/>
  <c r="E307" i="16"/>
  <c r="N50" i="13"/>
  <c r="E186" i="16"/>
  <c r="N47" i="11"/>
  <c r="E131" i="16"/>
  <c r="N51" i="6"/>
  <c r="E9" i="16"/>
  <c r="N47" i="9"/>
  <c r="E303" i="16"/>
  <c r="N46" i="13"/>
  <c r="E126" i="16"/>
  <c r="N46" i="6"/>
  <c r="E67" i="16"/>
  <c r="N46" i="10"/>
  <c r="E247" i="16"/>
  <c r="N49" i="12"/>
  <c r="E71" i="16"/>
  <c r="N50" i="10"/>
  <c r="E8" i="16"/>
  <c r="N46" i="9"/>
  <c r="E13" i="16"/>
  <c r="N51" i="9"/>
  <c r="E185" i="16"/>
  <c r="N46" i="11"/>
  <c r="E244" i="16"/>
  <c r="N46" i="12"/>
  <c r="E245" i="16"/>
  <c r="N47" i="12"/>
  <c r="E11" i="16"/>
  <c r="N49" i="9"/>
  <c r="E130" i="16"/>
  <c r="N50" i="6"/>
  <c r="E12" i="16"/>
  <c r="N50" i="9"/>
  <c r="E189" i="16"/>
  <c r="N50" i="11"/>
  <c r="E96" i="8"/>
  <c r="E92" i="8"/>
  <c r="D467" i="16"/>
  <c r="D360" i="16"/>
  <c r="D362" i="16"/>
  <c r="E66" i="16"/>
  <c r="E72" i="16"/>
  <c r="E304" i="16"/>
  <c r="G6" i="9"/>
  <c r="G34" i="9" s="1"/>
  <c r="G47" i="9" s="1"/>
  <c r="G5" i="9"/>
  <c r="G33" i="9" s="1"/>
  <c r="G10" i="9"/>
  <c r="G38" i="9" s="1"/>
  <c r="G9" i="9"/>
  <c r="G37" i="9" s="1"/>
  <c r="G8" i="9"/>
  <c r="G36" i="9" s="1"/>
  <c r="G8" i="11"/>
  <c r="G36" i="11" s="1"/>
  <c r="G6" i="11"/>
  <c r="G34" i="11" s="1"/>
  <c r="G47" i="11" s="1"/>
  <c r="G5" i="11"/>
  <c r="G33" i="11" s="1"/>
  <c r="G9" i="11"/>
  <c r="G37" i="11" s="1"/>
  <c r="G9" i="13"/>
  <c r="G37" i="13" s="1"/>
  <c r="G5" i="13"/>
  <c r="G33" i="13" s="1"/>
  <c r="G8" i="10"/>
  <c r="G36" i="10" s="1"/>
  <c r="G5" i="10"/>
  <c r="G33" i="10" s="1"/>
  <c r="G9" i="10"/>
  <c r="G5" i="12"/>
  <c r="G33" i="12" s="1"/>
  <c r="G10" i="12"/>
  <c r="G38" i="12" s="1"/>
  <c r="G9" i="12"/>
  <c r="G37" i="12" s="1"/>
  <c r="G8" i="12"/>
  <c r="G36" i="12" s="1"/>
  <c r="G6" i="12"/>
  <c r="G34" i="12" s="1"/>
  <c r="D80" i="16"/>
  <c r="C403" i="16"/>
  <c r="D326" i="16"/>
  <c r="D429" i="16" s="1"/>
  <c r="D341" i="16"/>
  <c r="C105" i="16"/>
  <c r="C433" i="16" s="1"/>
  <c r="C389" i="16"/>
  <c r="C395" i="16"/>
  <c r="C374" i="16"/>
  <c r="C90" i="16"/>
  <c r="C425" i="16" s="1"/>
  <c r="C409" i="16"/>
  <c r="C486" i="16"/>
  <c r="C481" i="16"/>
  <c r="C404" i="16"/>
  <c r="C407" i="16"/>
  <c r="C484" i="16"/>
  <c r="C56" i="15"/>
  <c r="C527" i="15"/>
  <c r="D86" i="16"/>
  <c r="D457" i="16" s="1"/>
  <c r="D54" i="16"/>
  <c r="E452" i="16"/>
  <c r="D101" i="16"/>
  <c r="D95" i="16"/>
  <c r="D466" i="16" s="1"/>
  <c r="C485" i="16"/>
  <c r="C505" i="15"/>
  <c r="C124" i="16"/>
  <c r="C405" i="16"/>
  <c r="C482" i="16"/>
  <c r="C84" i="15"/>
  <c r="D216" i="15"/>
  <c r="D463" i="15"/>
  <c r="C71" i="15"/>
  <c r="E193" i="15"/>
  <c r="E222" i="15" s="1"/>
  <c r="C451" i="15"/>
  <c r="C447" i="15"/>
  <c r="D289" i="15"/>
  <c r="D229" i="16" s="1"/>
  <c r="E275" i="15"/>
  <c r="E215" i="16" s="1"/>
  <c r="E260" i="15"/>
  <c r="E200" i="16" s="1"/>
  <c r="E79" i="15"/>
  <c r="E66" i="15"/>
  <c r="E217" i="15"/>
  <c r="D222" i="15"/>
  <c r="D449" i="15"/>
  <c r="E202" i="15"/>
  <c r="E216" i="15" s="1"/>
  <c r="D431" i="15"/>
  <c r="D347" i="16" s="1"/>
  <c r="E508" i="15"/>
  <c r="E402" i="15"/>
  <c r="E318" i="16" s="1"/>
  <c r="E417" i="15"/>
  <c r="E333" i="16" s="1"/>
  <c r="F166" i="15"/>
  <c r="F179" i="15" s="1"/>
  <c r="F193" i="15" s="1"/>
  <c r="E75" i="15"/>
  <c r="F160" i="15"/>
  <c r="F173" i="15" s="1"/>
  <c r="F233" i="15"/>
  <c r="F246" i="15" s="1"/>
  <c r="F186" i="16" s="1"/>
  <c r="F375" i="15"/>
  <c r="F388" i="15" s="1"/>
  <c r="F417" i="15" s="1"/>
  <c r="E51" i="15"/>
  <c r="E360" i="15"/>
  <c r="E220" i="15"/>
  <c r="E146" i="15"/>
  <c r="E149" i="15"/>
  <c r="F350" i="15"/>
  <c r="F335" i="15"/>
  <c r="F333" i="15"/>
  <c r="F263" i="15"/>
  <c r="D70" i="15"/>
  <c r="D535" i="15" s="1"/>
  <c r="D477" i="15"/>
  <c r="E359" i="15"/>
  <c r="E479" i="15"/>
  <c r="E291" i="15"/>
  <c r="F120" i="15"/>
  <c r="F61" i="15"/>
  <c r="F46" i="15"/>
  <c r="F262" i="15"/>
  <c r="D76" i="15"/>
  <c r="D52" i="16" s="1"/>
  <c r="E506" i="15"/>
  <c r="E512" i="15"/>
  <c r="E465" i="15"/>
  <c r="F188" i="15"/>
  <c r="F203" i="15"/>
  <c r="D493" i="15"/>
  <c r="E150" i="15"/>
  <c r="F191" i="15"/>
  <c r="F206" i="15"/>
  <c r="F401" i="15"/>
  <c r="F50" i="15"/>
  <c r="F65" i="15"/>
  <c r="F331" i="15"/>
  <c r="F346" i="15"/>
  <c r="F117" i="15"/>
  <c r="F132" i="15"/>
  <c r="F405" i="15"/>
  <c r="F420" i="15"/>
  <c r="E78" i="15"/>
  <c r="E430" i="15"/>
  <c r="E76" i="15"/>
  <c r="E292" i="15"/>
  <c r="E362" i="15"/>
  <c r="C60" i="16"/>
  <c r="C445" i="15"/>
  <c r="C489" i="15"/>
  <c r="D151" i="15"/>
  <c r="D115" i="16" s="1"/>
  <c r="E122" i="15"/>
  <c r="E137" i="15"/>
  <c r="D145" i="15"/>
  <c r="D109" i="16" s="1"/>
  <c r="D480" i="16" s="1"/>
  <c r="E116" i="15"/>
  <c r="E461" i="15" s="1"/>
  <c r="E131" i="15"/>
  <c r="E475" i="15" s="1"/>
  <c r="C186" i="15"/>
  <c r="C201" i="15"/>
  <c r="B192" i="15"/>
  <c r="B144" i="16" s="1"/>
  <c r="B379" i="16" s="1"/>
  <c r="B207" i="15"/>
  <c r="B159" i="16" s="1"/>
  <c r="B394" i="16" s="1"/>
  <c r="D192" i="15"/>
  <c r="D144" i="16" s="1"/>
  <c r="D379" i="16" s="1"/>
  <c r="D207" i="15"/>
  <c r="D159" i="16" s="1"/>
  <c r="C192" i="15"/>
  <c r="C144" i="16" s="1"/>
  <c r="C379" i="16" s="1"/>
  <c r="C207" i="15"/>
  <c r="C159" i="16" s="1"/>
  <c r="C394" i="16" s="1"/>
  <c r="E192" i="15"/>
  <c r="E207" i="15"/>
  <c r="G154" i="15"/>
  <c r="G118" i="16" s="1"/>
  <c r="C154" i="15"/>
  <c r="C118" i="16" s="1"/>
  <c r="B154" i="15"/>
  <c r="B118" i="16" s="1"/>
  <c r="L140" i="15"/>
  <c r="D154" i="15"/>
  <c r="D118" i="16" s="1"/>
  <c r="K154" i="15"/>
  <c r="K118" i="16" s="1"/>
  <c r="L125" i="15"/>
  <c r="F154" i="15"/>
  <c r="F118" i="16" s="1"/>
  <c r="E154" i="15"/>
  <c r="E118" i="16" s="1"/>
  <c r="C112" i="15"/>
  <c r="C520" i="15" s="1"/>
  <c r="J154" i="15"/>
  <c r="J118" i="16" s="1"/>
  <c r="I154" i="15"/>
  <c r="I118" i="16" s="1"/>
  <c r="H154" i="15"/>
  <c r="H118" i="16" s="1"/>
  <c r="C23" i="8"/>
  <c r="C19" i="8"/>
  <c r="C31" i="7" s="1"/>
  <c r="C24" i="8"/>
  <c r="C21" i="8"/>
  <c r="C22" i="8"/>
  <c r="C20" i="8"/>
  <c r="D19" i="8"/>
  <c r="D60" i="8"/>
  <c r="E55" i="10"/>
  <c r="E78" i="8"/>
  <c r="F13" i="16"/>
  <c r="F131" i="16"/>
  <c r="D63" i="8"/>
  <c r="F11" i="16"/>
  <c r="F139" i="16"/>
  <c r="F125" i="16"/>
  <c r="E94" i="6"/>
  <c r="E174" i="16" s="1"/>
  <c r="E76" i="8"/>
  <c r="E55" i="9"/>
  <c r="G57" i="6"/>
  <c r="G72" i="6"/>
  <c r="E75" i="8"/>
  <c r="E55" i="13"/>
  <c r="E94" i="9"/>
  <c r="E29" i="8"/>
  <c r="E90" i="11"/>
  <c r="D84" i="8"/>
  <c r="E79" i="8"/>
  <c r="F247" i="16"/>
  <c r="G57" i="9"/>
  <c r="G72" i="9"/>
  <c r="D58" i="8"/>
  <c r="E55" i="6"/>
  <c r="E55" i="11"/>
  <c r="G57" i="12"/>
  <c r="G72" i="12"/>
  <c r="G4" i="6"/>
  <c r="G32" i="6" s="1"/>
  <c r="G45" i="6" s="1"/>
  <c r="H2" i="6"/>
  <c r="G10" i="6"/>
  <c r="G38" i="6" s="1"/>
  <c r="G51" i="6" s="1"/>
  <c r="G5" i="6"/>
  <c r="G33" i="6" s="1"/>
  <c r="G8" i="6"/>
  <c r="G36" i="6" s="1"/>
  <c r="G9" i="6"/>
  <c r="G37" i="6" s="1"/>
  <c r="F248" i="16"/>
  <c r="G72" i="13"/>
  <c r="G57" i="13"/>
  <c r="E80" i="8"/>
  <c r="E88" i="6"/>
  <c r="E168" i="16" s="1"/>
  <c r="H2" i="12"/>
  <c r="F70" i="16"/>
  <c r="G27" i="8"/>
  <c r="G42" i="8"/>
  <c r="H2" i="11"/>
  <c r="G34" i="13"/>
  <c r="G47" i="13" s="1"/>
  <c r="H2" i="13"/>
  <c r="F244" i="16"/>
  <c r="G37" i="10"/>
  <c r="H2" i="10"/>
  <c r="G38" i="10"/>
  <c r="G32" i="10"/>
  <c r="G57" i="11"/>
  <c r="G72" i="11"/>
  <c r="H2" i="9"/>
  <c r="F245" i="16"/>
  <c r="D62" i="8"/>
  <c r="E55" i="12"/>
  <c r="E88" i="10"/>
  <c r="E44" i="8"/>
  <c r="F12" i="16"/>
  <c r="G57" i="10"/>
  <c r="G72" i="10"/>
  <c r="E92" i="10"/>
  <c r="E113" i="16" s="1"/>
  <c r="E90" i="13"/>
  <c r="D27" i="1" a="1"/>
  <c r="C23" i="1" a="1"/>
  <c r="C25" i="1" a="1"/>
  <c r="F96" i="8" a="1"/>
  <c r="E94" i="8" a="1"/>
  <c r="F92" i="8" a="1"/>
  <c r="E91" i="8" a="1"/>
  <c r="F90" i="8" a="1"/>
  <c r="E95" i="8" a="1"/>
  <c r="D39" i="8" l="1"/>
  <c r="D20" i="8"/>
  <c r="D64" i="8"/>
  <c r="D22" i="8"/>
  <c r="C68" i="8"/>
  <c r="F207" i="15"/>
  <c r="F277" i="15"/>
  <c r="F136" i="15"/>
  <c r="E69" i="13"/>
  <c r="E8" i="8" s="1"/>
  <c r="E89" i="6"/>
  <c r="E169" i="16" s="1"/>
  <c r="E93" i="12"/>
  <c r="E291" i="16" s="1"/>
  <c r="F333" i="16"/>
  <c r="D101" i="10"/>
  <c r="D172" i="15" s="1"/>
  <c r="D186" i="15" s="1"/>
  <c r="D98" i="10"/>
  <c r="D31" i="16"/>
  <c r="D424" i="16" s="1"/>
  <c r="E89" i="9"/>
  <c r="F345" i="15"/>
  <c r="D21" i="8"/>
  <c r="F41" i="15"/>
  <c r="F519" i="15" s="1"/>
  <c r="D101" i="9"/>
  <c r="F64" i="15"/>
  <c r="E93" i="11"/>
  <c r="E232" i="16" s="1"/>
  <c r="F49" i="15"/>
  <c r="F511" i="15"/>
  <c r="F66" i="15"/>
  <c r="E89" i="13"/>
  <c r="E346" i="16" s="1"/>
  <c r="E259" i="16"/>
  <c r="E376" i="16" s="1"/>
  <c r="E94" i="10"/>
  <c r="D24" i="8"/>
  <c r="E46" i="8"/>
  <c r="E84" i="12"/>
  <c r="E90" i="12"/>
  <c r="E288" i="16" s="1"/>
  <c r="E69" i="6"/>
  <c r="E5" i="8" s="1"/>
  <c r="E69" i="9"/>
  <c r="E3" i="8" s="1"/>
  <c r="B19" i="7" s="1"/>
  <c r="E94" i="12"/>
  <c r="E292" i="16" s="1"/>
  <c r="E90" i="9"/>
  <c r="E52" i="16" s="1"/>
  <c r="E84" i="6"/>
  <c r="E13" i="8" s="1"/>
  <c r="E92" i="12"/>
  <c r="E290" i="16" s="1"/>
  <c r="E93" i="9"/>
  <c r="E378" i="16"/>
  <c r="D101" i="6"/>
  <c r="D101" i="12"/>
  <c r="E84" i="11"/>
  <c r="E14" i="8" s="1"/>
  <c r="D98" i="9"/>
  <c r="E92" i="6"/>
  <c r="E172" i="16" s="1"/>
  <c r="E31" i="8"/>
  <c r="D98" i="6"/>
  <c r="E35" i="8"/>
  <c r="E93" i="13"/>
  <c r="E350" i="16" s="1"/>
  <c r="D98" i="12"/>
  <c r="D470" i="16"/>
  <c r="E84" i="13"/>
  <c r="E16" i="8" s="1"/>
  <c r="G22" i="15"/>
  <c r="G35" i="15" s="1"/>
  <c r="G49" i="9"/>
  <c r="F63" i="9"/>
  <c r="F25" i="16" s="1"/>
  <c r="F78" i="9"/>
  <c r="F40" i="16" s="1"/>
  <c r="F65" i="9"/>
  <c r="F27" i="16" s="1"/>
  <c r="F80" i="9"/>
  <c r="F42" i="16" s="1"/>
  <c r="G19" i="15"/>
  <c r="G32" i="15" s="1"/>
  <c r="G61" i="15" s="1"/>
  <c r="G46" i="9"/>
  <c r="G8" i="16" s="1"/>
  <c r="E84" i="9"/>
  <c r="E11" i="8" s="1"/>
  <c r="E92" i="9"/>
  <c r="E48" i="8"/>
  <c r="F9" i="16"/>
  <c r="F17" i="16" s="1"/>
  <c r="F416" i="16" s="1"/>
  <c r="G23" i="15"/>
  <c r="G36" i="15" s="1"/>
  <c r="G50" i="15" s="1"/>
  <c r="G50" i="9"/>
  <c r="G12" i="16" s="1"/>
  <c r="D54" i="8"/>
  <c r="F79" i="9"/>
  <c r="F41" i="16" s="1"/>
  <c r="F64" i="9"/>
  <c r="F26" i="16" s="1"/>
  <c r="D56" i="15"/>
  <c r="F62" i="15"/>
  <c r="F76" i="15" s="1"/>
  <c r="G24" i="15"/>
  <c r="G51" i="9"/>
  <c r="G13" i="16" s="1"/>
  <c r="F75" i="9"/>
  <c r="F37" i="16" s="1"/>
  <c r="F60" i="9"/>
  <c r="F22" i="16" s="1"/>
  <c r="G61" i="9"/>
  <c r="G76" i="9"/>
  <c r="F61" i="9"/>
  <c r="F23" i="16" s="1"/>
  <c r="F76" i="9"/>
  <c r="F38" i="16" s="1"/>
  <c r="D100" i="8"/>
  <c r="G95" i="15"/>
  <c r="G108" i="15" s="1"/>
  <c r="G51" i="10"/>
  <c r="E89" i="10"/>
  <c r="E110" i="16" s="1"/>
  <c r="E50" i="8"/>
  <c r="E64" i="8" s="1"/>
  <c r="F78" i="10"/>
  <c r="F99" i="16" s="1"/>
  <c r="F63" i="10"/>
  <c r="F84" i="16" s="1"/>
  <c r="E101" i="16"/>
  <c r="E472" i="16" s="1"/>
  <c r="G89" i="15"/>
  <c r="G102" i="15" s="1"/>
  <c r="G45" i="10"/>
  <c r="E84" i="10"/>
  <c r="E12" i="8" s="1"/>
  <c r="E93" i="10"/>
  <c r="E114" i="16" s="1"/>
  <c r="G94" i="15"/>
  <c r="G107" i="15" s="1"/>
  <c r="G121" i="15" s="1"/>
  <c r="G50" i="10"/>
  <c r="G71" i="16" s="1"/>
  <c r="E86" i="16"/>
  <c r="E380" i="16" s="1"/>
  <c r="F75" i="10"/>
  <c r="F96" i="16" s="1"/>
  <c r="F60" i="10"/>
  <c r="G90" i="15"/>
  <c r="G103" i="15" s="1"/>
  <c r="G132" i="15" s="1"/>
  <c r="G46" i="10"/>
  <c r="G67" i="16" s="1"/>
  <c r="F79" i="10"/>
  <c r="F100" i="16" s="1"/>
  <c r="F64" i="10"/>
  <c r="F85" i="16" s="1"/>
  <c r="F59" i="10"/>
  <c r="F29" i="8" s="1"/>
  <c r="F74" i="10"/>
  <c r="F44" i="8" s="1"/>
  <c r="G93" i="15"/>
  <c r="G106" i="15" s="1"/>
  <c r="G49" i="10"/>
  <c r="G70" i="16" s="1"/>
  <c r="F80" i="10"/>
  <c r="F65" i="10"/>
  <c r="E69" i="10"/>
  <c r="E4" i="8" s="1"/>
  <c r="G164" i="15"/>
  <c r="G177" i="15" s="1"/>
  <c r="G206" i="15" s="1"/>
  <c r="G49" i="6"/>
  <c r="G129" i="16" s="1"/>
  <c r="G161" i="15"/>
  <c r="G174" i="15" s="1"/>
  <c r="G188" i="15" s="1"/>
  <c r="G46" i="6"/>
  <c r="G74" i="6"/>
  <c r="G154" i="16" s="1"/>
  <c r="G59" i="6"/>
  <c r="G65" i="6"/>
  <c r="G145" i="16" s="1"/>
  <c r="G80" i="6"/>
  <c r="G160" i="16" s="1"/>
  <c r="E93" i="6"/>
  <c r="E173" i="16" s="1"/>
  <c r="E159" i="16"/>
  <c r="F78" i="6"/>
  <c r="F158" i="16" s="1"/>
  <c r="F63" i="6"/>
  <c r="F143" i="16" s="1"/>
  <c r="F60" i="6"/>
  <c r="F140" i="16" s="1"/>
  <c r="F75" i="6"/>
  <c r="F155" i="16" s="1"/>
  <c r="E144" i="16"/>
  <c r="E379" i="16" s="1"/>
  <c r="E375" i="16"/>
  <c r="E49" i="8"/>
  <c r="E34" i="8"/>
  <c r="G165" i="15"/>
  <c r="G178" i="15" s="1"/>
  <c r="G192" i="15" s="1"/>
  <c r="G50" i="6"/>
  <c r="F79" i="6"/>
  <c r="F159" i="16" s="1"/>
  <c r="F64" i="6"/>
  <c r="F144" i="16" s="1"/>
  <c r="E94" i="8"/>
  <c r="E95" i="8"/>
  <c r="E91" i="8"/>
  <c r="D59" i="8"/>
  <c r="D68" i="8" s="1"/>
  <c r="D104" i="8" s="1"/>
  <c r="E217" i="16"/>
  <c r="E393" i="16" s="1"/>
  <c r="F64" i="11"/>
  <c r="F203" i="16" s="1"/>
  <c r="F456" i="16" s="1"/>
  <c r="F79" i="11"/>
  <c r="E92" i="11"/>
  <c r="E231" i="16" s="1"/>
  <c r="D394" i="16"/>
  <c r="E455" i="16"/>
  <c r="G232" i="15"/>
  <c r="G46" i="11"/>
  <c r="G185" i="16" s="1"/>
  <c r="E33" i="8"/>
  <c r="G61" i="11"/>
  <c r="G76" i="11"/>
  <c r="F75" i="11"/>
  <c r="F60" i="11"/>
  <c r="F199" i="16" s="1"/>
  <c r="F452" i="16" s="1"/>
  <c r="F78" i="11"/>
  <c r="F63" i="11"/>
  <c r="F202" i="16" s="1"/>
  <c r="F455" i="16" s="1"/>
  <c r="G236" i="15"/>
  <c r="G249" i="15" s="1"/>
  <c r="G263" i="15" s="1"/>
  <c r="G50" i="11"/>
  <c r="G189" i="16" s="1"/>
  <c r="E89" i="11"/>
  <c r="E228" i="16" s="1"/>
  <c r="E69" i="11"/>
  <c r="E6" i="8" s="1"/>
  <c r="E218" i="16"/>
  <c r="E214" i="16"/>
  <c r="E467" i="16" s="1"/>
  <c r="E45" i="8"/>
  <c r="D98" i="11"/>
  <c r="G235" i="15"/>
  <c r="G248" i="15" s="1"/>
  <c r="G277" i="15" s="1"/>
  <c r="G49" i="11"/>
  <c r="D101" i="11"/>
  <c r="G307" i="15"/>
  <c r="G320" i="15" s="1"/>
  <c r="G50" i="12"/>
  <c r="G248" i="16" s="1"/>
  <c r="E30" i="8"/>
  <c r="E69" i="12"/>
  <c r="E7" i="8" s="1"/>
  <c r="G304" i="15"/>
  <c r="G317" i="15" s="1"/>
  <c r="G47" i="12"/>
  <c r="G245" i="16" s="1"/>
  <c r="F63" i="12"/>
  <c r="F261" i="16" s="1"/>
  <c r="F78" i="12"/>
  <c r="F276" i="16" s="1"/>
  <c r="F79" i="12"/>
  <c r="F277" i="16" s="1"/>
  <c r="F64" i="12"/>
  <c r="F262" i="16" s="1"/>
  <c r="G306" i="15"/>
  <c r="G319" i="15" s="1"/>
  <c r="G49" i="12"/>
  <c r="G247" i="16" s="1"/>
  <c r="G308" i="15"/>
  <c r="G321" i="15" s="1"/>
  <c r="G350" i="15" s="1"/>
  <c r="G51" i="12"/>
  <c r="G249" i="16" s="1"/>
  <c r="G303" i="15"/>
  <c r="G316" i="15" s="1"/>
  <c r="G46" i="12"/>
  <c r="F75" i="12"/>
  <c r="F273" i="16" s="1"/>
  <c r="F60" i="12"/>
  <c r="F258" i="16" s="1"/>
  <c r="E89" i="12"/>
  <c r="E287" i="16" s="1"/>
  <c r="E277" i="16"/>
  <c r="F61" i="12"/>
  <c r="F259" i="16" s="1"/>
  <c r="F76" i="12"/>
  <c r="F274" i="16" s="1"/>
  <c r="F65" i="12"/>
  <c r="F263" i="16" s="1"/>
  <c r="F80" i="12"/>
  <c r="F278" i="16" s="1"/>
  <c r="G76" i="13"/>
  <c r="G61" i="13"/>
  <c r="D101" i="13"/>
  <c r="F64" i="13"/>
  <c r="F321" i="16" s="1"/>
  <c r="F79" i="13"/>
  <c r="F336" i="16" s="1"/>
  <c r="D98" i="13"/>
  <c r="G374" i="15"/>
  <c r="G387" i="15" s="1"/>
  <c r="G46" i="13"/>
  <c r="G378" i="15"/>
  <c r="G391" i="15" s="1"/>
  <c r="G420" i="15" s="1"/>
  <c r="G50" i="13"/>
  <c r="G307" i="16" s="1"/>
  <c r="F75" i="13"/>
  <c r="F332" i="16" s="1"/>
  <c r="F60" i="13"/>
  <c r="F317" i="16" s="1"/>
  <c r="D376" i="16"/>
  <c r="E453" i="16"/>
  <c r="E463" i="15"/>
  <c r="E467" i="15"/>
  <c r="C25" i="1"/>
  <c r="D27" i="1"/>
  <c r="C23" i="1"/>
  <c r="E365" i="16"/>
  <c r="E361" i="16"/>
  <c r="E364" i="16"/>
  <c r="F90" i="8"/>
  <c r="D374" i="16"/>
  <c r="D451" i="16"/>
  <c r="E457" i="16"/>
  <c r="D395" i="16"/>
  <c r="D472" i="16"/>
  <c r="E391" i="16"/>
  <c r="E253" i="16"/>
  <c r="E420" i="16" s="1"/>
  <c r="E360" i="16"/>
  <c r="E366" i="16"/>
  <c r="E17" i="16"/>
  <c r="E416" i="16" s="1"/>
  <c r="E477" i="15"/>
  <c r="E362" i="16"/>
  <c r="E468" i="16"/>
  <c r="F92" i="8"/>
  <c r="F96" i="8"/>
  <c r="F66" i="16"/>
  <c r="F360" i="16" s="1"/>
  <c r="E312" i="16"/>
  <c r="E421" i="16" s="1"/>
  <c r="F304" i="16"/>
  <c r="F312" i="16" s="1"/>
  <c r="F421" i="16" s="1"/>
  <c r="E76" i="16"/>
  <c r="E417" i="16" s="1"/>
  <c r="F72" i="16"/>
  <c r="F366" i="16" s="1"/>
  <c r="H9" i="10"/>
  <c r="H37" i="10" s="1"/>
  <c r="H5" i="10"/>
  <c r="H33" i="10" s="1"/>
  <c r="H8" i="10"/>
  <c r="H36" i="10" s="1"/>
  <c r="H9" i="13"/>
  <c r="H5" i="13"/>
  <c r="H33" i="13" s="1"/>
  <c r="H10" i="12"/>
  <c r="H9" i="12"/>
  <c r="H37" i="12" s="1"/>
  <c r="H8" i="12"/>
  <c r="H6" i="12"/>
  <c r="H34" i="12" s="1"/>
  <c r="H5" i="12"/>
  <c r="H33" i="12" s="1"/>
  <c r="H5" i="9"/>
  <c r="H33" i="9" s="1"/>
  <c r="H10" i="9"/>
  <c r="H38" i="9" s="1"/>
  <c r="H9" i="9"/>
  <c r="H37" i="9" s="1"/>
  <c r="H8" i="9"/>
  <c r="H6" i="9"/>
  <c r="H34" i="9" s="1"/>
  <c r="H6" i="11"/>
  <c r="H5" i="11"/>
  <c r="H33" i="11" s="1"/>
  <c r="H9" i="11"/>
  <c r="H37" i="11" s="1"/>
  <c r="H8" i="11"/>
  <c r="H36" i="11" s="1"/>
  <c r="F253" i="16"/>
  <c r="F420" i="16" s="1"/>
  <c r="E80" i="16"/>
  <c r="D403" i="16"/>
  <c r="E326" i="16"/>
  <c r="E429" i="16" s="1"/>
  <c r="C138" i="16"/>
  <c r="F364" i="16"/>
  <c r="C85" i="15"/>
  <c r="C543" i="15"/>
  <c r="D380" i="16"/>
  <c r="D486" i="16"/>
  <c r="D409" i="16"/>
  <c r="L118" i="16"/>
  <c r="F365" i="16"/>
  <c r="E55" i="16"/>
  <c r="E341" i="16"/>
  <c r="D90" i="16"/>
  <c r="D425" i="16" s="1"/>
  <c r="C135" i="16"/>
  <c r="C418" i="16" s="1"/>
  <c r="C359" i="16"/>
  <c r="D405" i="16"/>
  <c r="D482" i="16"/>
  <c r="F361" i="16"/>
  <c r="D105" i="16"/>
  <c r="D433" i="16" s="1"/>
  <c r="D389" i="16"/>
  <c r="D485" i="16"/>
  <c r="E95" i="16"/>
  <c r="E466" i="16" s="1"/>
  <c r="E51" i="16"/>
  <c r="E56" i="16"/>
  <c r="C153" i="16"/>
  <c r="D407" i="16"/>
  <c r="D484" i="16"/>
  <c r="D404" i="16"/>
  <c r="D481" i="16"/>
  <c r="C440" i="16"/>
  <c r="C46" i="16"/>
  <c r="C432" i="16" s="1"/>
  <c r="D71" i="15"/>
  <c r="D46" i="16"/>
  <c r="D432" i="16" s="1"/>
  <c r="F360" i="15"/>
  <c r="F220" i="15"/>
  <c r="E80" i="15"/>
  <c r="E84" i="15" s="1"/>
  <c r="E543" i="15" s="1"/>
  <c r="F80" i="15"/>
  <c r="F149" i="15"/>
  <c r="E70" i="15"/>
  <c r="E535" i="15" s="1"/>
  <c r="E493" i="15"/>
  <c r="E481" i="15"/>
  <c r="D447" i="15"/>
  <c r="F402" i="15"/>
  <c r="F431" i="15" s="1"/>
  <c r="D60" i="16"/>
  <c r="D84" i="15"/>
  <c r="D543" i="15" s="1"/>
  <c r="D491" i="15"/>
  <c r="E431" i="15"/>
  <c r="E347" i="16" s="1"/>
  <c r="E289" i="15"/>
  <c r="E229" i="16" s="1"/>
  <c r="F430" i="15"/>
  <c r="F292" i="15"/>
  <c r="F508" i="15"/>
  <c r="F260" i="15"/>
  <c r="F463" i="15" s="1"/>
  <c r="F275" i="15"/>
  <c r="F477" i="15" s="1"/>
  <c r="F202" i="15"/>
  <c r="F187" i="15"/>
  <c r="E31" i="16"/>
  <c r="E424" i="16" s="1"/>
  <c r="G346" i="15"/>
  <c r="G331" i="15"/>
  <c r="E449" i="15"/>
  <c r="F359" i="15"/>
  <c r="F217" i="15"/>
  <c r="F55" i="15"/>
  <c r="F362" i="15"/>
  <c r="G65" i="15"/>
  <c r="G120" i="15"/>
  <c r="G135" i="15"/>
  <c r="G233" i="15"/>
  <c r="G246" i="15" s="1"/>
  <c r="G186" i="16" s="1"/>
  <c r="E491" i="15"/>
  <c r="F512" i="15"/>
  <c r="F79" i="15"/>
  <c r="F75" i="15"/>
  <c r="G160" i="15"/>
  <c r="G173" i="15" s="1"/>
  <c r="G187" i="15" s="1"/>
  <c r="F506" i="15"/>
  <c r="G333" i="15"/>
  <c r="G348" i="15"/>
  <c r="G117" i="15"/>
  <c r="G20" i="15"/>
  <c r="G33" i="15" s="1"/>
  <c r="G9" i="16" s="1"/>
  <c r="G401" i="15"/>
  <c r="G416" i="15"/>
  <c r="G335" i="15"/>
  <c r="F364" i="15"/>
  <c r="G166" i="15"/>
  <c r="G179" i="15" s="1"/>
  <c r="E55" i="15"/>
  <c r="F208" i="15"/>
  <c r="F222" i="15" s="1"/>
  <c r="F465" i="15"/>
  <c r="G330" i="15"/>
  <c r="G345" i="15"/>
  <c r="G375" i="15"/>
  <c r="G388" i="15" s="1"/>
  <c r="F146" i="15"/>
  <c r="F479" i="15"/>
  <c r="F291" i="15"/>
  <c r="F150" i="15"/>
  <c r="C104" i="8"/>
  <c r="D445" i="15"/>
  <c r="D489" i="15"/>
  <c r="D451" i="15"/>
  <c r="D495" i="15"/>
  <c r="C328" i="15"/>
  <c r="C256" i="16" s="1"/>
  <c r="C450" i="16" s="1"/>
  <c r="C343" i="15"/>
  <c r="C271" i="16" s="1"/>
  <c r="C465" i="16" s="1"/>
  <c r="E151" i="15"/>
  <c r="E145" i="15"/>
  <c r="E109" i="16" s="1"/>
  <c r="E480" i="16" s="1"/>
  <c r="F122" i="15"/>
  <c r="F467" i="15" s="1"/>
  <c r="F137" i="15"/>
  <c r="F481" i="15" s="1"/>
  <c r="F116" i="15"/>
  <c r="F461" i="15" s="1"/>
  <c r="F131" i="15"/>
  <c r="F475" i="15" s="1"/>
  <c r="E252" i="15"/>
  <c r="K252" i="15"/>
  <c r="C252" i="15"/>
  <c r="J252" i="15"/>
  <c r="I252" i="15"/>
  <c r="H252" i="15"/>
  <c r="G252" i="15"/>
  <c r="F252" i="15"/>
  <c r="D252" i="15"/>
  <c r="B252" i="15"/>
  <c r="C196" i="15"/>
  <c r="C211" i="15"/>
  <c r="K196" i="15"/>
  <c r="K148" i="16" s="1"/>
  <c r="K211" i="15"/>
  <c r="K163" i="16" s="1"/>
  <c r="G196" i="15"/>
  <c r="G148" i="16" s="1"/>
  <c r="G211" i="15"/>
  <c r="G163" i="16" s="1"/>
  <c r="B196" i="15"/>
  <c r="B148" i="16" s="1"/>
  <c r="B211" i="15"/>
  <c r="B163" i="16" s="1"/>
  <c r="D196" i="15"/>
  <c r="D148" i="16" s="1"/>
  <c r="D211" i="15"/>
  <c r="D163" i="16" s="1"/>
  <c r="I196" i="15"/>
  <c r="I148" i="16" s="1"/>
  <c r="I211" i="15"/>
  <c r="I163" i="16" s="1"/>
  <c r="J196" i="15"/>
  <c r="J148" i="16" s="1"/>
  <c r="J211" i="15"/>
  <c r="J163" i="16" s="1"/>
  <c r="E196" i="15"/>
  <c r="E148" i="16" s="1"/>
  <c r="E211" i="15"/>
  <c r="E163" i="16" s="1"/>
  <c r="H196" i="15"/>
  <c r="H148" i="16" s="1"/>
  <c r="H211" i="15"/>
  <c r="H163" i="16" s="1"/>
  <c r="F196" i="15"/>
  <c r="F148" i="16" s="1"/>
  <c r="F211" i="15"/>
  <c r="F163" i="16" s="1"/>
  <c r="E221" i="15"/>
  <c r="C215" i="15"/>
  <c r="C167" i="16" s="1"/>
  <c r="D183" i="15"/>
  <c r="D521" i="15" s="1"/>
  <c r="B221" i="15"/>
  <c r="B173" i="16" s="1"/>
  <c r="B408" i="16" s="1"/>
  <c r="C183" i="15"/>
  <c r="C521" i="15" s="1"/>
  <c r="C221" i="15"/>
  <c r="C173" i="16" s="1"/>
  <c r="C408" i="16" s="1"/>
  <c r="L182" i="15"/>
  <c r="F221" i="15"/>
  <c r="D221" i="15"/>
  <c r="D173" i="16" s="1"/>
  <c r="D408" i="16" s="1"/>
  <c r="D112" i="15"/>
  <c r="D520" i="15" s="1"/>
  <c r="D126" i="15"/>
  <c r="D528" i="15" s="1"/>
  <c r="C126" i="15"/>
  <c r="C141" i="15"/>
  <c r="C144" i="15"/>
  <c r="G37" i="15"/>
  <c r="E15" i="8"/>
  <c r="F90" i="11"/>
  <c r="F79" i="8"/>
  <c r="F78" i="8"/>
  <c r="F90" i="13"/>
  <c r="F55" i="11"/>
  <c r="H38" i="10"/>
  <c r="I2" i="10"/>
  <c r="H32" i="10"/>
  <c r="H57" i="9"/>
  <c r="H72" i="9"/>
  <c r="F76" i="8"/>
  <c r="H34" i="11"/>
  <c r="H47" i="11" s="1"/>
  <c r="I2" i="11"/>
  <c r="G130" i="16"/>
  <c r="F92" i="9"/>
  <c r="E58" i="8"/>
  <c r="G11" i="16"/>
  <c r="H57" i="11"/>
  <c r="H72" i="11"/>
  <c r="H34" i="13"/>
  <c r="H47" i="13" s="1"/>
  <c r="I2" i="13"/>
  <c r="H37" i="13"/>
  <c r="H42" i="8"/>
  <c r="H27" i="8"/>
  <c r="H57" i="13"/>
  <c r="H72" i="13"/>
  <c r="H36" i="9"/>
  <c r="I2" i="9"/>
  <c r="F55" i="12"/>
  <c r="H57" i="12"/>
  <c r="H72" i="12"/>
  <c r="H57" i="6"/>
  <c r="H72" i="6"/>
  <c r="F94" i="6"/>
  <c r="F174" i="16" s="1"/>
  <c r="G126" i="16"/>
  <c r="F75" i="8"/>
  <c r="F55" i="13"/>
  <c r="F80" i="8"/>
  <c r="F92" i="6"/>
  <c r="F172" i="16" s="1"/>
  <c r="G131" i="16"/>
  <c r="E84" i="8"/>
  <c r="G188" i="16"/>
  <c r="H38" i="12"/>
  <c r="I2" i="12"/>
  <c r="H36" i="12"/>
  <c r="H4" i="6"/>
  <c r="H32" i="6" s="1"/>
  <c r="H45" i="6" s="1"/>
  <c r="H5" i="6"/>
  <c r="H33" i="6" s="1"/>
  <c r="H9" i="6"/>
  <c r="H37" i="6" s="1"/>
  <c r="H10" i="6"/>
  <c r="H38" i="6" s="1"/>
  <c r="H51" i="6" s="1"/>
  <c r="H8" i="6"/>
  <c r="H36" i="6" s="1"/>
  <c r="I2" i="6"/>
  <c r="F88" i="6"/>
  <c r="F168" i="16" s="1"/>
  <c r="H72" i="10"/>
  <c r="H57" i="10"/>
  <c r="F55" i="10"/>
  <c r="F55" i="9"/>
  <c r="G139" i="16"/>
  <c r="G125" i="16"/>
  <c r="F55" i="6"/>
  <c r="D23" i="1" a="1"/>
  <c r="D25" i="1" a="1"/>
  <c r="E25" i="1" a="1"/>
  <c r="E27" i="1" a="1"/>
  <c r="D29" i="1" a="1"/>
  <c r="F91" i="8" a="1"/>
  <c r="G96" i="8" a="1"/>
  <c r="G92" i="8" a="1"/>
  <c r="F94" i="8" a="1"/>
  <c r="G90" i="8" a="1"/>
  <c r="F95" i="8" a="1"/>
  <c r="F69" i="13" l="1"/>
  <c r="F8" i="8" s="1"/>
  <c r="E101" i="12"/>
  <c r="E98" i="10"/>
  <c r="F70" i="15"/>
  <c r="F535" i="15" s="1"/>
  <c r="E24" i="8"/>
  <c r="D124" i="16"/>
  <c r="E63" i="8"/>
  <c r="F78" i="15"/>
  <c r="D505" i="15"/>
  <c r="E20" i="8"/>
  <c r="E101" i="6"/>
  <c r="G191" i="15"/>
  <c r="G220" i="15" s="1"/>
  <c r="F89" i="11"/>
  <c r="F228" i="16" s="1"/>
  <c r="D201" i="15"/>
  <c r="G278" i="15"/>
  <c r="E98" i="6"/>
  <c r="E98" i="11"/>
  <c r="F92" i="11"/>
  <c r="F231" i="16" s="1"/>
  <c r="F84" i="6"/>
  <c r="F13" i="8" s="1"/>
  <c r="F84" i="9"/>
  <c r="F11" i="8" s="1"/>
  <c r="F84" i="13"/>
  <c r="F16" i="8" s="1"/>
  <c r="F24" i="8" s="1"/>
  <c r="F93" i="6"/>
  <c r="F173" i="16" s="1"/>
  <c r="F45" i="8"/>
  <c r="F89" i="13"/>
  <c r="F346" i="16" s="1"/>
  <c r="F93" i="12"/>
  <c r="F291" i="16" s="1"/>
  <c r="E101" i="10"/>
  <c r="E172" i="15" s="1"/>
  <c r="E115" i="16"/>
  <c r="E98" i="9"/>
  <c r="E60" i="8"/>
  <c r="E98" i="12"/>
  <c r="F33" i="8"/>
  <c r="F69" i="10"/>
  <c r="F4" i="8" s="1"/>
  <c r="F378" i="16"/>
  <c r="E470" i="16"/>
  <c r="E101" i="11"/>
  <c r="G203" i="15"/>
  <c r="G217" i="15" s="1"/>
  <c r="F341" i="16"/>
  <c r="G207" i="15"/>
  <c r="G221" i="15" s="1"/>
  <c r="E54" i="16"/>
  <c r="G405" i="15"/>
  <c r="E394" i="16"/>
  <c r="F90" i="9"/>
  <c r="F81" i="16"/>
  <c r="F375" i="16" s="1"/>
  <c r="F89" i="6"/>
  <c r="F169" i="16" s="1"/>
  <c r="F89" i="10"/>
  <c r="F110" i="16" s="1"/>
  <c r="G262" i="15"/>
  <c r="F46" i="8"/>
  <c r="F94" i="9"/>
  <c r="F35" i="8"/>
  <c r="D31" i="7"/>
  <c r="E101" i="13"/>
  <c r="F69" i="6"/>
  <c r="F5" i="8" s="1"/>
  <c r="E98" i="13"/>
  <c r="F69" i="11"/>
  <c r="F6" i="8" s="1"/>
  <c r="E101" i="9"/>
  <c r="F31" i="8"/>
  <c r="E59" i="8"/>
  <c r="E39" i="8"/>
  <c r="F84" i="10"/>
  <c r="F12" i="8" s="1"/>
  <c r="F90" i="12"/>
  <c r="F288" i="16" s="1"/>
  <c r="F84" i="12"/>
  <c r="F15" i="8" s="1"/>
  <c r="F93" i="13"/>
  <c r="F350" i="16" s="1"/>
  <c r="F94" i="10"/>
  <c r="H24" i="15"/>
  <c r="H37" i="15" s="1"/>
  <c r="H66" i="15" s="1"/>
  <c r="H51" i="9"/>
  <c r="H13" i="16" s="1"/>
  <c r="F89" i="9"/>
  <c r="H20" i="15"/>
  <c r="H33" i="15" s="1"/>
  <c r="H47" i="9"/>
  <c r="G79" i="9"/>
  <c r="G41" i="16" s="1"/>
  <c r="G64" i="9"/>
  <c r="G26" i="16" s="1"/>
  <c r="F30" i="8"/>
  <c r="H22" i="15"/>
  <c r="H35" i="15" s="1"/>
  <c r="H49" i="15" s="1"/>
  <c r="H49" i="9"/>
  <c r="H11" i="16" s="1"/>
  <c r="E54" i="8"/>
  <c r="F93" i="9"/>
  <c r="F55" i="16" s="1"/>
  <c r="E62" i="8"/>
  <c r="G65" i="9"/>
  <c r="G27" i="16" s="1"/>
  <c r="G80" i="9"/>
  <c r="G42" i="16" s="1"/>
  <c r="F69" i="9"/>
  <c r="F3" i="8" s="1"/>
  <c r="H23" i="15"/>
  <c r="H36" i="15" s="1"/>
  <c r="H50" i="9"/>
  <c r="H19" i="15"/>
  <c r="H32" i="15" s="1"/>
  <c r="H46" i="9"/>
  <c r="G63" i="9"/>
  <c r="G25" i="16" s="1"/>
  <c r="G78" i="9"/>
  <c r="G40" i="16" s="1"/>
  <c r="G46" i="15"/>
  <c r="G22" i="16" s="1"/>
  <c r="G75" i="9"/>
  <c r="G37" i="16" s="1"/>
  <c r="G60" i="9"/>
  <c r="H93" i="15"/>
  <c r="H106" i="15" s="1"/>
  <c r="H120" i="15" s="1"/>
  <c r="H49" i="10"/>
  <c r="F88" i="10"/>
  <c r="F92" i="10"/>
  <c r="F113" i="16" s="1"/>
  <c r="G64" i="10"/>
  <c r="G85" i="16" s="1"/>
  <c r="G79" i="10"/>
  <c r="G100" i="16" s="1"/>
  <c r="F93" i="10"/>
  <c r="F114" i="16" s="1"/>
  <c r="E100" i="8"/>
  <c r="H94" i="15"/>
  <c r="H107" i="15" s="1"/>
  <c r="H136" i="15" s="1"/>
  <c r="H50" i="10"/>
  <c r="F50" i="8"/>
  <c r="H89" i="15"/>
  <c r="H102" i="15" s="1"/>
  <c r="H45" i="10"/>
  <c r="G60" i="10"/>
  <c r="G81" i="16" s="1"/>
  <c r="G75" i="10"/>
  <c r="G96" i="16" s="1"/>
  <c r="G80" i="10"/>
  <c r="G65" i="10"/>
  <c r="G59" i="10"/>
  <c r="G74" i="10"/>
  <c r="F34" i="8"/>
  <c r="H90" i="15"/>
  <c r="H103" i="15" s="1"/>
  <c r="H132" i="15" s="1"/>
  <c r="H46" i="10"/>
  <c r="N20" i="8"/>
  <c r="G136" i="15"/>
  <c r="G150" i="15" s="1"/>
  <c r="G63" i="10"/>
  <c r="G84" i="16" s="1"/>
  <c r="G78" i="10"/>
  <c r="G99" i="16" s="1"/>
  <c r="H95" i="15"/>
  <c r="H51" i="10"/>
  <c r="E395" i="16"/>
  <c r="H161" i="15"/>
  <c r="H174" i="15" s="1"/>
  <c r="H188" i="15" s="1"/>
  <c r="H46" i="6"/>
  <c r="G79" i="6"/>
  <c r="G159" i="16" s="1"/>
  <c r="G64" i="6"/>
  <c r="G144" i="16" s="1"/>
  <c r="H74" i="6"/>
  <c r="H59" i="6"/>
  <c r="G75" i="6"/>
  <c r="G155" i="16" s="1"/>
  <c r="G60" i="6"/>
  <c r="G140" i="16" s="1"/>
  <c r="H165" i="15"/>
  <c r="H178" i="15" s="1"/>
  <c r="H192" i="15" s="1"/>
  <c r="H50" i="6"/>
  <c r="H164" i="15"/>
  <c r="H177" i="15" s="1"/>
  <c r="H191" i="15" s="1"/>
  <c r="H49" i="6"/>
  <c r="H129" i="16" s="1"/>
  <c r="G63" i="6"/>
  <c r="G143" i="16" s="1"/>
  <c r="G78" i="6"/>
  <c r="G158" i="16" s="1"/>
  <c r="H65" i="6"/>
  <c r="H145" i="16" s="1"/>
  <c r="H80" i="6"/>
  <c r="H160" i="16" s="1"/>
  <c r="F95" i="8"/>
  <c r="F94" i="8"/>
  <c r="F91" i="8"/>
  <c r="G64" i="11"/>
  <c r="G203" i="16" s="1"/>
  <c r="G456" i="16" s="1"/>
  <c r="G79" i="11"/>
  <c r="G63" i="11"/>
  <c r="G202" i="16" s="1"/>
  <c r="G455" i="16" s="1"/>
  <c r="G78" i="11"/>
  <c r="F218" i="16"/>
  <c r="F471" i="16" s="1"/>
  <c r="H236" i="15"/>
  <c r="H249" i="15" s="1"/>
  <c r="H263" i="15" s="1"/>
  <c r="H50" i="11"/>
  <c r="F93" i="11"/>
  <c r="F232" i="16" s="1"/>
  <c r="H232" i="15"/>
  <c r="H46" i="11"/>
  <c r="H76" i="11"/>
  <c r="H61" i="11"/>
  <c r="E471" i="16"/>
  <c r="G60" i="11"/>
  <c r="G199" i="16" s="1"/>
  <c r="G75" i="11"/>
  <c r="E390" i="16"/>
  <c r="F217" i="16"/>
  <c r="F470" i="16" s="1"/>
  <c r="F379" i="16"/>
  <c r="H235" i="15"/>
  <c r="H248" i="15" s="1"/>
  <c r="H277" i="15" s="1"/>
  <c r="H49" i="11"/>
  <c r="H188" i="16" s="1"/>
  <c r="F84" i="11"/>
  <c r="F14" i="8" s="1"/>
  <c r="G511" i="15"/>
  <c r="F214" i="16"/>
  <c r="F467" i="16" s="1"/>
  <c r="F49" i="8"/>
  <c r="F48" i="8"/>
  <c r="F62" i="8" s="1"/>
  <c r="G75" i="12"/>
  <c r="G273" i="16" s="1"/>
  <c r="G60" i="12"/>
  <c r="G258" i="16" s="1"/>
  <c r="H306" i="15"/>
  <c r="H319" i="15" s="1"/>
  <c r="H49" i="12"/>
  <c r="H247" i="16" s="1"/>
  <c r="H307" i="15"/>
  <c r="H320" i="15" s="1"/>
  <c r="H334" i="15" s="1"/>
  <c r="H50" i="12"/>
  <c r="G80" i="12"/>
  <c r="G278" i="16" s="1"/>
  <c r="G65" i="12"/>
  <c r="G263" i="16" s="1"/>
  <c r="G76" i="12"/>
  <c r="G274" i="16" s="1"/>
  <c r="G61" i="12"/>
  <c r="G259" i="16" s="1"/>
  <c r="H304" i="15"/>
  <c r="H317" i="15" s="1"/>
  <c r="H331" i="15" s="1"/>
  <c r="H47" i="12"/>
  <c r="H245" i="16" s="1"/>
  <c r="F92" i="12"/>
  <c r="F290" i="16" s="1"/>
  <c r="F94" i="12"/>
  <c r="F292" i="16" s="1"/>
  <c r="F89" i="12"/>
  <c r="F287" i="16" s="1"/>
  <c r="H308" i="15"/>
  <c r="H321" i="15" s="1"/>
  <c r="H350" i="15" s="1"/>
  <c r="H51" i="12"/>
  <c r="G244" i="16"/>
  <c r="F69" i="12"/>
  <c r="F7" i="8" s="1"/>
  <c r="G78" i="12"/>
  <c r="G276" i="16" s="1"/>
  <c r="G63" i="12"/>
  <c r="G261" i="16" s="1"/>
  <c r="G64" i="12"/>
  <c r="G262" i="16" s="1"/>
  <c r="G79" i="12"/>
  <c r="H303" i="15"/>
  <c r="H316" i="15" s="1"/>
  <c r="H330" i="15" s="1"/>
  <c r="H46" i="12"/>
  <c r="G75" i="13"/>
  <c r="G332" i="16" s="1"/>
  <c r="G60" i="13"/>
  <c r="G317" i="16" s="1"/>
  <c r="H378" i="15"/>
  <c r="H391" i="15" s="1"/>
  <c r="H405" i="15" s="1"/>
  <c r="H50" i="13"/>
  <c r="H307" i="16" s="1"/>
  <c r="H76" i="13"/>
  <c r="H61" i="13"/>
  <c r="G303" i="16"/>
  <c r="O24" i="8"/>
  <c r="H374" i="15"/>
  <c r="H387" i="15" s="1"/>
  <c r="H416" i="15" s="1"/>
  <c r="H46" i="13"/>
  <c r="G79" i="13"/>
  <c r="G336" i="16" s="1"/>
  <c r="G64" i="13"/>
  <c r="G321" i="16" s="1"/>
  <c r="F200" i="16"/>
  <c r="F215" i="16"/>
  <c r="F391" i="16" s="1"/>
  <c r="F347" i="16"/>
  <c r="E25" i="1"/>
  <c r="E27" i="1"/>
  <c r="D29" i="1"/>
  <c r="D25" i="1"/>
  <c r="D23" i="1"/>
  <c r="G90" i="8"/>
  <c r="E90" i="16"/>
  <c r="E425" i="16" s="1"/>
  <c r="E451" i="16"/>
  <c r="O19" i="8"/>
  <c r="E19" i="8"/>
  <c r="E31" i="7" s="1"/>
  <c r="F19" i="7"/>
  <c r="N24" i="8"/>
  <c r="E22" i="8"/>
  <c r="O22" i="8"/>
  <c r="O20" i="8"/>
  <c r="G96" i="8"/>
  <c r="G92" i="8"/>
  <c r="G304" i="16"/>
  <c r="F362" i="16"/>
  <c r="F76" i="16"/>
  <c r="F417" i="16" s="1"/>
  <c r="G72" i="16"/>
  <c r="G366" i="16" s="1"/>
  <c r="G365" i="16"/>
  <c r="D85" i="15"/>
  <c r="G66" i="16"/>
  <c r="G360" i="16" s="1"/>
  <c r="I10" i="12"/>
  <c r="I38" i="12" s="1"/>
  <c r="I9" i="12"/>
  <c r="I37" i="12" s="1"/>
  <c r="I8" i="12"/>
  <c r="I36" i="12" s="1"/>
  <c r="I6" i="12"/>
  <c r="I34" i="12" s="1"/>
  <c r="I5" i="12"/>
  <c r="I33" i="12" s="1"/>
  <c r="C460" i="15"/>
  <c r="I9" i="10"/>
  <c r="I37" i="10" s="1"/>
  <c r="I8" i="10"/>
  <c r="I36" i="10" s="1"/>
  <c r="I5" i="10"/>
  <c r="I33" i="10" s="1"/>
  <c r="B514" i="15"/>
  <c r="B192" i="16"/>
  <c r="E374" i="16"/>
  <c r="I5" i="13"/>
  <c r="I33" i="13" s="1"/>
  <c r="I9" i="13"/>
  <c r="I37" i="13" s="1"/>
  <c r="I6" i="11"/>
  <c r="I34" i="11" s="1"/>
  <c r="I47" i="11" s="1"/>
  <c r="I5" i="11"/>
  <c r="I9" i="11"/>
  <c r="I37" i="11" s="1"/>
  <c r="I8" i="11"/>
  <c r="I36" i="11" s="1"/>
  <c r="I9" i="9"/>
  <c r="I37" i="9" s="1"/>
  <c r="I8" i="9"/>
  <c r="I36" i="9" s="1"/>
  <c r="I6" i="9"/>
  <c r="I34" i="9" s="1"/>
  <c r="I5" i="9"/>
  <c r="I10" i="9"/>
  <c r="I38" i="9" s="1"/>
  <c r="C474" i="15"/>
  <c r="E403" i="16"/>
  <c r="K514" i="15"/>
  <c r="K192" i="16"/>
  <c r="K368" i="16" s="1"/>
  <c r="F80" i="16"/>
  <c r="F451" i="16" s="1"/>
  <c r="F95" i="16"/>
  <c r="F466" i="16" s="1"/>
  <c r="G364" i="16"/>
  <c r="D514" i="15"/>
  <c r="D192" i="16"/>
  <c r="E514" i="15"/>
  <c r="E192" i="16"/>
  <c r="F86" i="16"/>
  <c r="F457" i="16" s="1"/>
  <c r="F514" i="15"/>
  <c r="F192" i="16"/>
  <c r="E482" i="16"/>
  <c r="E405" i="16"/>
  <c r="C373" i="16"/>
  <c r="F52" i="16"/>
  <c r="F56" i="16"/>
  <c r="G514" i="15"/>
  <c r="G192" i="16"/>
  <c r="G368" i="16" s="1"/>
  <c r="E56" i="15"/>
  <c r="E527" i="15"/>
  <c r="E389" i="16"/>
  <c r="E105" i="16"/>
  <c r="E433" i="16" s="1"/>
  <c r="F318" i="16"/>
  <c r="E407" i="16"/>
  <c r="E484" i="16"/>
  <c r="C155" i="15"/>
  <c r="C32" i="7" s="1"/>
  <c r="C108" i="16"/>
  <c r="D153" i="16"/>
  <c r="H514" i="15"/>
  <c r="H192" i="16"/>
  <c r="H368" i="16" s="1"/>
  <c r="E409" i="16"/>
  <c r="E486" i="16"/>
  <c r="E408" i="16"/>
  <c r="E485" i="16"/>
  <c r="E505" i="15"/>
  <c r="E124" i="16"/>
  <c r="F54" i="16"/>
  <c r="C142" i="15"/>
  <c r="C536" i="15"/>
  <c r="D138" i="16"/>
  <c r="I514" i="15"/>
  <c r="I192" i="16"/>
  <c r="I368" i="16" s="1"/>
  <c r="C388" i="16"/>
  <c r="F101" i="16"/>
  <c r="F472" i="16" s="1"/>
  <c r="F51" i="16"/>
  <c r="G452" i="16"/>
  <c r="C127" i="15"/>
  <c r="C528" i="15"/>
  <c r="C212" i="15"/>
  <c r="C537" i="15" s="1"/>
  <c r="C163" i="16"/>
  <c r="C164" i="16" s="1"/>
  <c r="C434" i="16" s="1"/>
  <c r="J514" i="15"/>
  <c r="J192" i="16"/>
  <c r="J368" i="16" s="1"/>
  <c r="C197" i="15"/>
  <c r="C529" i="15" s="1"/>
  <c r="C148" i="16"/>
  <c r="C149" i="16" s="1"/>
  <c r="C426" i="16" s="1"/>
  <c r="C514" i="15"/>
  <c r="C192" i="16"/>
  <c r="F56" i="15"/>
  <c r="F527" i="15"/>
  <c r="E404" i="16"/>
  <c r="E481" i="16"/>
  <c r="D135" i="16"/>
  <c r="D418" i="16" s="1"/>
  <c r="D359" i="16"/>
  <c r="D440" i="16"/>
  <c r="F71" i="15"/>
  <c r="F46" i="16"/>
  <c r="F432" i="16" s="1"/>
  <c r="E71" i="15"/>
  <c r="E451" i="15"/>
  <c r="G362" i="15"/>
  <c r="E60" i="16"/>
  <c r="G430" i="15"/>
  <c r="E447" i="15"/>
  <c r="F289" i="15"/>
  <c r="F447" i="15" s="1"/>
  <c r="G62" i="15"/>
  <c r="G38" i="16" s="1"/>
  <c r="G47" i="15"/>
  <c r="G23" i="16" s="1"/>
  <c r="F216" i="15"/>
  <c r="G202" i="15"/>
  <c r="G216" i="15" s="1"/>
  <c r="F31" i="16"/>
  <c r="F424" i="16" s="1"/>
  <c r="G360" i="15"/>
  <c r="G292" i="15"/>
  <c r="G417" i="15"/>
  <c r="G333" i="16" s="1"/>
  <c r="G402" i="15"/>
  <c r="G318" i="16" s="1"/>
  <c r="G260" i="15"/>
  <c r="G200" i="16" s="1"/>
  <c r="G275" i="15"/>
  <c r="G215" i="16" s="1"/>
  <c r="G508" i="15"/>
  <c r="G193" i="15"/>
  <c r="G208" i="15"/>
  <c r="H401" i="15"/>
  <c r="F84" i="15"/>
  <c r="H166" i="15"/>
  <c r="H179" i="15" s="1"/>
  <c r="H345" i="15"/>
  <c r="H50" i="15"/>
  <c r="H65" i="15"/>
  <c r="G506" i="15"/>
  <c r="F449" i="15"/>
  <c r="H348" i="15"/>
  <c r="G149" i="15"/>
  <c r="H207" i="15"/>
  <c r="H375" i="15"/>
  <c r="H388" i="15" s="1"/>
  <c r="H233" i="15"/>
  <c r="H246" i="15" s="1"/>
  <c r="H186" i="16" s="1"/>
  <c r="G79" i="15"/>
  <c r="G291" i="15"/>
  <c r="H203" i="15"/>
  <c r="H160" i="15"/>
  <c r="H173" i="15" s="1"/>
  <c r="H61" i="15"/>
  <c r="H46" i="15"/>
  <c r="H41" i="15"/>
  <c r="H519" i="15" s="1"/>
  <c r="H335" i="15"/>
  <c r="H346" i="15"/>
  <c r="H64" i="15"/>
  <c r="G75" i="15"/>
  <c r="H278" i="15"/>
  <c r="G359" i="15"/>
  <c r="H47" i="15"/>
  <c r="H62" i="15"/>
  <c r="G364" i="15"/>
  <c r="G146" i="15"/>
  <c r="F493" i="15"/>
  <c r="G510" i="15"/>
  <c r="G512" i="15"/>
  <c r="E445" i="15"/>
  <c r="E489" i="15"/>
  <c r="E495" i="15"/>
  <c r="D127" i="15"/>
  <c r="E85" i="15"/>
  <c r="C357" i="15"/>
  <c r="C285" i="16" s="1"/>
  <c r="L394" i="15"/>
  <c r="C334" i="15"/>
  <c r="C466" i="15" s="1"/>
  <c r="C349" i="15"/>
  <c r="C480" i="15" s="1"/>
  <c r="B334" i="15"/>
  <c r="B466" i="15" s="1"/>
  <c r="B349" i="15"/>
  <c r="B480" i="15" s="1"/>
  <c r="D334" i="15"/>
  <c r="D466" i="15" s="1"/>
  <c r="D349" i="15"/>
  <c r="D480" i="15" s="1"/>
  <c r="D328" i="15"/>
  <c r="D256" i="16" s="1"/>
  <c r="D450" i="16" s="1"/>
  <c r="D343" i="15"/>
  <c r="D271" i="16" s="1"/>
  <c r="D465" i="16" s="1"/>
  <c r="E334" i="15"/>
  <c r="E466" i="15" s="1"/>
  <c r="E349" i="15"/>
  <c r="E480" i="15" s="1"/>
  <c r="H349" i="15"/>
  <c r="G334" i="15"/>
  <c r="G466" i="15" s="1"/>
  <c r="G349" i="15"/>
  <c r="G480" i="15" s="1"/>
  <c r="F334" i="15"/>
  <c r="F466" i="15" s="1"/>
  <c r="F349" i="15"/>
  <c r="F480" i="15" s="1"/>
  <c r="E343" i="15"/>
  <c r="E271" i="16" s="1"/>
  <c r="E465" i="16" s="1"/>
  <c r="F151" i="15"/>
  <c r="C353" i="15"/>
  <c r="C281" i="16" s="1"/>
  <c r="G122" i="15"/>
  <c r="G137" i="15"/>
  <c r="H108" i="15"/>
  <c r="F145" i="15"/>
  <c r="F109" i="16" s="1"/>
  <c r="F480" i="16" s="1"/>
  <c r="G116" i="15"/>
  <c r="G461" i="15" s="1"/>
  <c r="G131" i="15"/>
  <c r="G475" i="15" s="1"/>
  <c r="F266" i="15"/>
  <c r="F281" i="15"/>
  <c r="F221" i="16" s="1"/>
  <c r="F474" i="16" s="1"/>
  <c r="G266" i="15"/>
  <c r="G281" i="15"/>
  <c r="I266" i="15"/>
  <c r="I281" i="15"/>
  <c r="I221" i="16" s="1"/>
  <c r="B266" i="15"/>
  <c r="B281" i="15"/>
  <c r="B221" i="16" s="1"/>
  <c r="B474" i="16" s="1"/>
  <c r="H266" i="15"/>
  <c r="H281" i="15"/>
  <c r="H221" i="16" s="1"/>
  <c r="J266" i="15"/>
  <c r="J281" i="15"/>
  <c r="J221" i="16" s="1"/>
  <c r="D266" i="15"/>
  <c r="D281" i="15"/>
  <c r="D221" i="16" s="1"/>
  <c r="D474" i="16" s="1"/>
  <c r="C266" i="15"/>
  <c r="C281" i="15"/>
  <c r="C221" i="16" s="1"/>
  <c r="C474" i="16" s="1"/>
  <c r="E266" i="15"/>
  <c r="E281" i="15"/>
  <c r="E221" i="16" s="1"/>
  <c r="K266" i="15"/>
  <c r="K281" i="15"/>
  <c r="K221" i="16" s="1"/>
  <c r="H225" i="15"/>
  <c r="H177" i="16" s="1"/>
  <c r="L252" i="15"/>
  <c r="G225" i="15"/>
  <c r="G177" i="16" s="1"/>
  <c r="K225" i="15"/>
  <c r="K177" i="16" s="1"/>
  <c r="E186" i="15"/>
  <c r="E138" i="16" s="1"/>
  <c r="E201" i="15"/>
  <c r="E225" i="15"/>
  <c r="E177" i="16" s="1"/>
  <c r="C225" i="15"/>
  <c r="D197" i="15"/>
  <c r="J225" i="15"/>
  <c r="J177" i="16" s="1"/>
  <c r="D225" i="15"/>
  <c r="D177" i="16" s="1"/>
  <c r="F225" i="15"/>
  <c r="F177" i="16" s="1"/>
  <c r="E183" i="15"/>
  <c r="E521" i="15" s="1"/>
  <c r="I225" i="15"/>
  <c r="I177" i="16" s="1"/>
  <c r="B225" i="15"/>
  <c r="B177" i="16" s="1"/>
  <c r="L211" i="15"/>
  <c r="D212" i="15"/>
  <c r="D215" i="15"/>
  <c r="D167" i="16" s="1"/>
  <c r="L196" i="15"/>
  <c r="E112" i="15"/>
  <c r="E520" i="15" s="1"/>
  <c r="D141" i="15"/>
  <c r="D144" i="15"/>
  <c r="G49" i="15"/>
  <c r="G64" i="15"/>
  <c r="G51" i="15"/>
  <c r="G66" i="15"/>
  <c r="G41" i="15"/>
  <c r="G519" i="15" s="1"/>
  <c r="E21" i="8"/>
  <c r="E23" i="8"/>
  <c r="G90" i="11"/>
  <c r="G55" i="10"/>
  <c r="G31" i="8"/>
  <c r="G55" i="6"/>
  <c r="G79" i="8"/>
  <c r="G80" i="8"/>
  <c r="F60" i="8"/>
  <c r="H139" i="16"/>
  <c r="H125" i="16"/>
  <c r="H154" i="16"/>
  <c r="H303" i="16"/>
  <c r="I4" i="6"/>
  <c r="I32" i="6" s="1"/>
  <c r="I45" i="6" s="1"/>
  <c r="I10" i="6"/>
  <c r="I38" i="6" s="1"/>
  <c r="I51" i="6" s="1"/>
  <c r="J2" i="6"/>
  <c r="I9" i="6"/>
  <c r="I37" i="6" s="1"/>
  <c r="I5" i="6"/>
  <c r="I33" i="6" s="1"/>
  <c r="I8" i="6"/>
  <c r="I36" i="6" s="1"/>
  <c r="F59" i="8"/>
  <c r="G90" i="13"/>
  <c r="I34" i="13"/>
  <c r="I47" i="13" s="1"/>
  <c r="J2" i="13"/>
  <c r="F101" i="13"/>
  <c r="F98" i="13"/>
  <c r="G78" i="8"/>
  <c r="H8" i="16"/>
  <c r="I72" i="13"/>
  <c r="I57" i="13"/>
  <c r="F84" i="8"/>
  <c r="J2" i="10"/>
  <c r="I38" i="10"/>
  <c r="I32" i="10"/>
  <c r="G88" i="6"/>
  <c r="G168" i="16" s="1"/>
  <c r="H131" i="16"/>
  <c r="H70" i="16"/>
  <c r="G90" i="9"/>
  <c r="H244" i="16"/>
  <c r="G94" i="6"/>
  <c r="G174" i="16" s="1"/>
  <c r="H130" i="16"/>
  <c r="J2" i="12"/>
  <c r="G55" i="11"/>
  <c r="G29" i="8"/>
  <c r="H189" i="16"/>
  <c r="G75" i="8"/>
  <c r="G55" i="13"/>
  <c r="H71" i="16"/>
  <c r="I72" i="10"/>
  <c r="I57" i="10"/>
  <c r="G76" i="8"/>
  <c r="G92" i="10"/>
  <c r="G113" i="16" s="1"/>
  <c r="H126" i="16"/>
  <c r="I42" i="8"/>
  <c r="I27" i="8"/>
  <c r="I72" i="11"/>
  <c r="I57" i="11"/>
  <c r="F58" i="8"/>
  <c r="G89" i="10"/>
  <c r="G110" i="16" s="1"/>
  <c r="H67" i="16"/>
  <c r="I57" i="12"/>
  <c r="I72" i="12"/>
  <c r="G55" i="12"/>
  <c r="H12" i="16"/>
  <c r="I33" i="11"/>
  <c r="J2" i="11"/>
  <c r="H249" i="16"/>
  <c r="G55" i="9"/>
  <c r="I57" i="6"/>
  <c r="I72" i="6"/>
  <c r="I33" i="9"/>
  <c r="J2" i="9"/>
  <c r="I72" i="9"/>
  <c r="I57" i="9"/>
  <c r="E29" i="1" a="1"/>
  <c r="D12" i="1" a="1"/>
  <c r="E23" i="1" a="1"/>
  <c r="F27" i="1" a="1"/>
  <c r="B12" i="1" a="1"/>
  <c r="G91" i="8" a="1"/>
  <c r="G95" i="8" a="1"/>
  <c r="H90" i="8" a="1"/>
  <c r="G94" i="8" a="1"/>
  <c r="H96" i="8" a="1"/>
  <c r="H92" i="8" a="1"/>
  <c r="G88" i="10" l="1"/>
  <c r="F64" i="8"/>
  <c r="G93" i="6"/>
  <c r="G173" i="16" s="1"/>
  <c r="F98" i="9"/>
  <c r="G378" i="16"/>
  <c r="G93" i="11"/>
  <c r="G232" i="16" s="1"/>
  <c r="F20" i="8"/>
  <c r="F22" i="8"/>
  <c r="F115" i="16"/>
  <c r="F21" i="8"/>
  <c r="H117" i="15"/>
  <c r="F101" i="11"/>
  <c r="G44" i="8"/>
  <c r="F101" i="9"/>
  <c r="F98" i="11"/>
  <c r="G92" i="6"/>
  <c r="G172" i="16" s="1"/>
  <c r="F101" i="6"/>
  <c r="G89" i="12"/>
  <c r="G287" i="16" s="1"/>
  <c r="G90" i="12"/>
  <c r="G288" i="16" s="1"/>
  <c r="F98" i="6"/>
  <c r="H262" i="15"/>
  <c r="G69" i="13"/>
  <c r="G8" i="8" s="1"/>
  <c r="G89" i="11"/>
  <c r="G228" i="16" s="1"/>
  <c r="F19" i="8"/>
  <c r="F31" i="7" s="1"/>
  <c r="F98" i="10"/>
  <c r="G84" i="9"/>
  <c r="G11" i="8" s="1"/>
  <c r="G92" i="12"/>
  <c r="G290" i="16" s="1"/>
  <c r="F23" i="8"/>
  <c r="G92" i="9"/>
  <c r="G69" i="9"/>
  <c r="G3" i="8" s="1"/>
  <c r="G48" i="8"/>
  <c r="G30" i="8"/>
  <c r="H420" i="15"/>
  <c r="G93" i="10"/>
  <c r="G114" i="16" s="1"/>
  <c r="E68" i="8"/>
  <c r="E104" i="8" s="1"/>
  <c r="G84" i="13"/>
  <c r="G16" i="8" s="1"/>
  <c r="H206" i="15"/>
  <c r="H510" i="15"/>
  <c r="G84" i="11"/>
  <c r="G14" i="8" s="1"/>
  <c r="G93" i="13"/>
  <c r="G350" i="16" s="1"/>
  <c r="H511" i="15"/>
  <c r="G326" i="16"/>
  <c r="G429" i="16" s="1"/>
  <c r="G361" i="16"/>
  <c r="F491" i="15"/>
  <c r="H9" i="16"/>
  <c r="H17" i="16" s="1"/>
  <c r="H416" i="16" s="1"/>
  <c r="H121" i="15"/>
  <c r="G46" i="8"/>
  <c r="G60" i="8" s="1"/>
  <c r="G89" i="13"/>
  <c r="G346" i="16" s="1"/>
  <c r="G253" i="16"/>
  <c r="G420" i="16" s="1"/>
  <c r="F390" i="16"/>
  <c r="F394" i="16"/>
  <c r="G94" i="10"/>
  <c r="F39" i="8"/>
  <c r="G379" i="16"/>
  <c r="G341" i="16"/>
  <c r="G93" i="12"/>
  <c r="G291" i="16" s="1"/>
  <c r="F100" i="8"/>
  <c r="G89" i="9"/>
  <c r="G51" i="16" s="1"/>
  <c r="H51" i="15"/>
  <c r="H76" i="9"/>
  <c r="H38" i="16" s="1"/>
  <c r="H61" i="9"/>
  <c r="H23" i="16" s="1"/>
  <c r="I22" i="15"/>
  <c r="I35" i="15" s="1"/>
  <c r="I49" i="9"/>
  <c r="G375" i="16"/>
  <c r="H60" i="9"/>
  <c r="H22" i="16" s="1"/>
  <c r="H75" i="9"/>
  <c r="H37" i="16" s="1"/>
  <c r="I24" i="15"/>
  <c r="I37" i="15" s="1"/>
  <c r="I51" i="9"/>
  <c r="I23" i="15"/>
  <c r="I36" i="15" s="1"/>
  <c r="I50" i="9"/>
  <c r="G94" i="9"/>
  <c r="G56" i="16" s="1"/>
  <c r="G35" i="8"/>
  <c r="H64" i="9"/>
  <c r="H26" i="16" s="1"/>
  <c r="H79" i="9"/>
  <c r="H41" i="16" s="1"/>
  <c r="H78" i="9"/>
  <c r="H40" i="16" s="1"/>
  <c r="H63" i="9"/>
  <c r="H25" i="16" s="1"/>
  <c r="H80" i="9"/>
  <c r="H42" i="16" s="1"/>
  <c r="H65" i="9"/>
  <c r="H27" i="16" s="1"/>
  <c r="I19" i="15"/>
  <c r="I32" i="15" s="1"/>
  <c r="I46" i="15" s="1"/>
  <c r="I46" i="9"/>
  <c r="I8" i="16" s="1"/>
  <c r="G93" i="9"/>
  <c r="G45" i="8"/>
  <c r="I20" i="15"/>
  <c r="I33" i="15" s="1"/>
  <c r="I47" i="9"/>
  <c r="F101" i="10"/>
  <c r="F172" i="15" s="1"/>
  <c r="G69" i="10"/>
  <c r="G4" i="8" s="1"/>
  <c r="G101" i="16"/>
  <c r="G395" i="16" s="1"/>
  <c r="H135" i="15"/>
  <c r="H149" i="15" s="1"/>
  <c r="H75" i="10"/>
  <c r="H96" i="16" s="1"/>
  <c r="H60" i="10"/>
  <c r="H81" i="16" s="1"/>
  <c r="G50" i="8"/>
  <c r="G86" i="16"/>
  <c r="G380" i="16" s="1"/>
  <c r="H65" i="10"/>
  <c r="H80" i="10"/>
  <c r="H74" i="10"/>
  <c r="H44" i="8" s="1"/>
  <c r="H59" i="10"/>
  <c r="H29" i="8" s="1"/>
  <c r="I90" i="15"/>
  <c r="I103" i="15" s="1"/>
  <c r="I46" i="10"/>
  <c r="I93" i="15"/>
  <c r="I106" i="15" s="1"/>
  <c r="I120" i="15" s="1"/>
  <c r="I49" i="10"/>
  <c r="F63" i="8"/>
  <c r="F68" i="8" s="1"/>
  <c r="G84" i="10"/>
  <c r="G12" i="8" s="1"/>
  <c r="I94" i="15"/>
  <c r="I107" i="15" s="1"/>
  <c r="I121" i="15" s="1"/>
  <c r="I50" i="10"/>
  <c r="I71" i="16" s="1"/>
  <c r="H64" i="10"/>
  <c r="H85" i="16" s="1"/>
  <c r="H79" i="10"/>
  <c r="H100" i="16" s="1"/>
  <c r="H63" i="10"/>
  <c r="H84" i="16" s="1"/>
  <c r="H78" i="10"/>
  <c r="H99" i="16" s="1"/>
  <c r="I95" i="15"/>
  <c r="I51" i="10"/>
  <c r="I89" i="15"/>
  <c r="I102" i="15" s="1"/>
  <c r="I45" i="10"/>
  <c r="I164" i="15"/>
  <c r="I177" i="15" s="1"/>
  <c r="I49" i="6"/>
  <c r="I165" i="15"/>
  <c r="I178" i="15" s="1"/>
  <c r="I50" i="6"/>
  <c r="G89" i="6"/>
  <c r="G169" i="16" s="1"/>
  <c r="G69" i="6"/>
  <c r="G5" i="8" s="1"/>
  <c r="H63" i="6"/>
  <c r="H143" i="16" s="1"/>
  <c r="H78" i="6"/>
  <c r="H158" i="16" s="1"/>
  <c r="I161" i="15"/>
  <c r="I174" i="15" s="1"/>
  <c r="I46" i="6"/>
  <c r="I80" i="6"/>
  <c r="I65" i="6"/>
  <c r="G84" i="6"/>
  <c r="G13" i="8" s="1"/>
  <c r="I74" i="6"/>
  <c r="I59" i="6"/>
  <c r="I139" i="16" s="1"/>
  <c r="H79" i="6"/>
  <c r="H64" i="6"/>
  <c r="H144" i="16" s="1"/>
  <c r="H60" i="6"/>
  <c r="H140" i="16" s="1"/>
  <c r="H75" i="6"/>
  <c r="H155" i="16" s="1"/>
  <c r="G94" i="8"/>
  <c r="G95" i="8"/>
  <c r="G91" i="8"/>
  <c r="H78" i="11"/>
  <c r="H63" i="11"/>
  <c r="H202" i="16" s="1"/>
  <c r="H455" i="16" s="1"/>
  <c r="H60" i="11"/>
  <c r="H199" i="16" s="1"/>
  <c r="H452" i="16" s="1"/>
  <c r="H75" i="11"/>
  <c r="H185" i="16"/>
  <c r="I61" i="11"/>
  <c r="I76" i="11"/>
  <c r="G217" i="16"/>
  <c r="G393" i="16" s="1"/>
  <c r="G218" i="16"/>
  <c r="G471" i="16" s="1"/>
  <c r="G33" i="8"/>
  <c r="G62" i="8" s="1"/>
  <c r="F54" i="8"/>
  <c r="G69" i="11"/>
  <c r="G6" i="8" s="1"/>
  <c r="G214" i="16"/>
  <c r="G467" i="16" s="1"/>
  <c r="F393" i="16"/>
  <c r="G92" i="11"/>
  <c r="G231" i="16" s="1"/>
  <c r="I232" i="15"/>
  <c r="I46" i="11"/>
  <c r="I235" i="15"/>
  <c r="I248" i="15" s="1"/>
  <c r="I277" i="15" s="1"/>
  <c r="I49" i="11"/>
  <c r="H64" i="11"/>
  <c r="H203" i="16" s="1"/>
  <c r="H79" i="11"/>
  <c r="F453" i="16"/>
  <c r="I236" i="15"/>
  <c r="I249" i="15" s="1"/>
  <c r="I50" i="11"/>
  <c r="O23" i="8"/>
  <c r="I307" i="15"/>
  <c r="I320" i="15" s="1"/>
  <c r="I334" i="15" s="1"/>
  <c r="I50" i="12"/>
  <c r="H64" i="12"/>
  <c r="H262" i="16" s="1"/>
  <c r="H79" i="12"/>
  <c r="G49" i="8"/>
  <c r="H333" i="15"/>
  <c r="H362" i="15" s="1"/>
  <c r="I308" i="15"/>
  <c r="I321" i="15" s="1"/>
  <c r="I51" i="12"/>
  <c r="I249" i="16" s="1"/>
  <c r="G277" i="16"/>
  <c r="H248" i="16"/>
  <c r="H365" i="16" s="1"/>
  <c r="G69" i="12"/>
  <c r="G7" i="8" s="1"/>
  <c r="G94" i="12"/>
  <c r="G292" i="16" s="1"/>
  <c r="H76" i="12"/>
  <c r="H274" i="16" s="1"/>
  <c r="H61" i="12"/>
  <c r="H259" i="16" s="1"/>
  <c r="H78" i="12"/>
  <c r="H63" i="12"/>
  <c r="H261" i="16" s="1"/>
  <c r="G84" i="12"/>
  <c r="G15" i="8" s="1"/>
  <c r="G34" i="8"/>
  <c r="F101" i="12"/>
  <c r="I303" i="15"/>
  <c r="I316" i="15" s="1"/>
  <c r="I330" i="15" s="1"/>
  <c r="I46" i="12"/>
  <c r="I244" i="16" s="1"/>
  <c r="H75" i="12"/>
  <c r="H60" i="12"/>
  <c r="H258" i="16" s="1"/>
  <c r="H80" i="12"/>
  <c r="H65" i="12"/>
  <c r="H263" i="16" s="1"/>
  <c r="I306" i="15"/>
  <c r="I319" i="15" s="1"/>
  <c r="I49" i="12"/>
  <c r="F98" i="12"/>
  <c r="I304" i="15"/>
  <c r="I317" i="15" s="1"/>
  <c r="I331" i="15" s="1"/>
  <c r="I47" i="12"/>
  <c r="I374" i="15"/>
  <c r="I387" i="15" s="1"/>
  <c r="I46" i="13"/>
  <c r="I303" i="16" s="1"/>
  <c r="G312" i="16"/>
  <c r="G421" i="16" s="1"/>
  <c r="H64" i="13"/>
  <c r="H321" i="16" s="1"/>
  <c r="H79" i="13"/>
  <c r="H336" i="16" s="1"/>
  <c r="I76" i="13"/>
  <c r="I61" i="13"/>
  <c r="H60" i="13"/>
  <c r="H317" i="16" s="1"/>
  <c r="H75" i="13"/>
  <c r="H332" i="16" s="1"/>
  <c r="I378" i="15"/>
  <c r="I391" i="15" s="1"/>
  <c r="I405" i="15" s="1"/>
  <c r="I50" i="13"/>
  <c r="I307" i="16" s="1"/>
  <c r="I397" i="16"/>
  <c r="I474" i="16"/>
  <c r="K397" i="16"/>
  <c r="K474" i="16"/>
  <c r="J397" i="16"/>
  <c r="J474" i="16"/>
  <c r="E397" i="16"/>
  <c r="E474" i="16"/>
  <c r="H397" i="16"/>
  <c r="H474" i="16"/>
  <c r="F468" i="16"/>
  <c r="F229" i="16"/>
  <c r="F405" i="16" s="1"/>
  <c r="C544" i="15"/>
  <c r="D12" i="1"/>
  <c r="B12" i="1"/>
  <c r="E29" i="1"/>
  <c r="E23" i="1"/>
  <c r="F27" i="1"/>
  <c r="H90" i="8"/>
  <c r="G457" i="16"/>
  <c r="G472" i="16"/>
  <c r="G453" i="16"/>
  <c r="N22" i="8"/>
  <c r="D19" i="7"/>
  <c r="N19" i="8"/>
  <c r="G468" i="16"/>
  <c r="N23" i="8"/>
  <c r="O21" i="8"/>
  <c r="N21" i="8"/>
  <c r="H96" i="8"/>
  <c r="H92" i="8"/>
  <c r="H276" i="16"/>
  <c r="G470" i="16"/>
  <c r="H277" i="16"/>
  <c r="H72" i="16"/>
  <c r="H366" i="16" s="1"/>
  <c r="G362" i="16"/>
  <c r="H304" i="16"/>
  <c r="H66" i="16"/>
  <c r="C156" i="15"/>
  <c r="C213" i="15"/>
  <c r="G76" i="16"/>
  <c r="G417" i="16" s="1"/>
  <c r="D178" i="16"/>
  <c r="D442" i="16" s="1"/>
  <c r="B368" i="16"/>
  <c r="J8" i="10"/>
  <c r="J36" i="10" s="1"/>
  <c r="J5" i="10"/>
  <c r="J9" i="10"/>
  <c r="J37" i="10" s="1"/>
  <c r="B397" i="16"/>
  <c r="J10" i="9"/>
  <c r="J38" i="9" s="1"/>
  <c r="J8" i="9"/>
  <c r="J9" i="9"/>
  <c r="J37" i="9" s="1"/>
  <c r="J6" i="9"/>
  <c r="J34" i="9" s="1"/>
  <c r="J5" i="9"/>
  <c r="J33" i="9" s="1"/>
  <c r="B469" i="15"/>
  <c r="B206" i="16"/>
  <c r="B459" i="16" s="1"/>
  <c r="J5" i="13"/>
  <c r="J33" i="13" s="1"/>
  <c r="J9" i="13"/>
  <c r="J37" i="13" s="1"/>
  <c r="D460" i="15"/>
  <c r="J5" i="11"/>
  <c r="J33" i="11" s="1"/>
  <c r="J9" i="11"/>
  <c r="J37" i="11" s="1"/>
  <c r="J8" i="11"/>
  <c r="J36" i="11" s="1"/>
  <c r="J6" i="11"/>
  <c r="J34" i="11" s="1"/>
  <c r="J47" i="11" s="1"/>
  <c r="J10" i="12"/>
  <c r="J38" i="12" s="1"/>
  <c r="J9" i="12"/>
  <c r="J37" i="12" s="1"/>
  <c r="J8" i="12"/>
  <c r="J36" i="12" s="1"/>
  <c r="J6" i="12"/>
  <c r="J34" i="12" s="1"/>
  <c r="J5" i="12"/>
  <c r="J33" i="12" s="1"/>
  <c r="D474" i="15"/>
  <c r="G80" i="16"/>
  <c r="H364" i="16"/>
  <c r="C198" i="15"/>
  <c r="F403" i="16"/>
  <c r="H361" i="16"/>
  <c r="D397" i="16"/>
  <c r="G376" i="16"/>
  <c r="F408" i="16"/>
  <c r="F485" i="16"/>
  <c r="F368" i="16"/>
  <c r="D213" i="15"/>
  <c r="D537" i="15"/>
  <c r="D198" i="15"/>
  <c r="D529" i="15"/>
  <c r="D469" i="15"/>
  <c r="D206" i="16"/>
  <c r="D459" i="16" s="1"/>
  <c r="I469" i="15"/>
  <c r="I206" i="16"/>
  <c r="F395" i="16"/>
  <c r="D149" i="16"/>
  <c r="D426" i="16" s="1"/>
  <c r="D373" i="16"/>
  <c r="E368" i="16"/>
  <c r="C226" i="15"/>
  <c r="C33" i="7" s="1"/>
  <c r="C177" i="16"/>
  <c r="G483" i="15"/>
  <c r="G221" i="16"/>
  <c r="G95" i="16"/>
  <c r="G466" i="16" s="1"/>
  <c r="K469" i="15"/>
  <c r="K206" i="16"/>
  <c r="J469" i="15"/>
  <c r="J206" i="16"/>
  <c r="G469" i="15"/>
  <c r="G206" i="16"/>
  <c r="F407" i="16"/>
  <c r="F484" i="16"/>
  <c r="C119" i="16"/>
  <c r="C441" i="16" s="1"/>
  <c r="D368" i="16"/>
  <c r="G54" i="16"/>
  <c r="H456" i="16"/>
  <c r="D155" i="15"/>
  <c r="D32" i="7" s="1"/>
  <c r="D108" i="16"/>
  <c r="E474" i="15"/>
  <c r="E153" i="16"/>
  <c r="F397" i="16"/>
  <c r="F85" i="15"/>
  <c r="F543" i="15"/>
  <c r="L192" i="16"/>
  <c r="C368" i="16"/>
  <c r="F486" i="16"/>
  <c r="F409" i="16"/>
  <c r="D142" i="15"/>
  <c r="D536" i="15"/>
  <c r="E149" i="16"/>
  <c r="E426" i="16" s="1"/>
  <c r="E469" i="15"/>
  <c r="E206" i="16"/>
  <c r="E459" i="16" s="1"/>
  <c r="H469" i="15"/>
  <c r="H206" i="16"/>
  <c r="F469" i="15"/>
  <c r="F206" i="16"/>
  <c r="F459" i="16" s="1"/>
  <c r="F376" i="16"/>
  <c r="F326" i="16"/>
  <c r="F429" i="16" s="1"/>
  <c r="G55" i="16"/>
  <c r="C397" i="16"/>
  <c r="L148" i="16"/>
  <c r="F404" i="16"/>
  <c r="F481" i="16"/>
  <c r="E135" i="16"/>
  <c r="E418" i="16" s="1"/>
  <c r="E359" i="16"/>
  <c r="F105" i="16"/>
  <c r="F433" i="16" s="1"/>
  <c r="F389" i="16"/>
  <c r="G391" i="16"/>
  <c r="F505" i="15"/>
  <c r="F124" i="16"/>
  <c r="C469" i="15"/>
  <c r="C206" i="16"/>
  <c r="C459" i="16" s="1"/>
  <c r="L163" i="16"/>
  <c r="D164" i="16"/>
  <c r="D434" i="16" s="1"/>
  <c r="D388" i="16"/>
  <c r="C282" i="16"/>
  <c r="C436" i="16" s="1"/>
  <c r="F380" i="16"/>
  <c r="F90" i="16"/>
  <c r="F425" i="16" s="1"/>
  <c r="F374" i="16"/>
  <c r="E440" i="16"/>
  <c r="E46" i="16"/>
  <c r="E432" i="16" s="1"/>
  <c r="H430" i="15"/>
  <c r="G289" i="15"/>
  <c r="G229" i="16" s="1"/>
  <c r="G431" i="15"/>
  <c r="G347" i="16" s="1"/>
  <c r="G222" i="15"/>
  <c r="H146" i="15"/>
  <c r="H260" i="15"/>
  <c r="H200" i="16" s="1"/>
  <c r="H275" i="15"/>
  <c r="H215" i="16" s="1"/>
  <c r="H187" i="15"/>
  <c r="H202" i="15"/>
  <c r="H506" i="15"/>
  <c r="H359" i="15"/>
  <c r="G463" i="15"/>
  <c r="G76" i="15"/>
  <c r="G52" i="16" s="1"/>
  <c r="G477" i="15"/>
  <c r="H360" i="15"/>
  <c r="H79" i="15"/>
  <c r="H208" i="15"/>
  <c r="H193" i="15"/>
  <c r="H402" i="15"/>
  <c r="H318" i="16" s="1"/>
  <c r="H417" i="15"/>
  <c r="H333" i="16" s="1"/>
  <c r="H508" i="15"/>
  <c r="I160" i="15"/>
  <c r="I173" i="15" s="1"/>
  <c r="I66" i="15"/>
  <c r="I51" i="15"/>
  <c r="I135" i="15"/>
  <c r="I401" i="15"/>
  <c r="I416" i="15"/>
  <c r="H78" i="15"/>
  <c r="H479" i="15"/>
  <c r="I333" i="15"/>
  <c r="I348" i="15"/>
  <c r="H512" i="15"/>
  <c r="H465" i="15"/>
  <c r="H80" i="15"/>
  <c r="H480" i="15"/>
  <c r="H221" i="15"/>
  <c r="I41" i="15"/>
  <c r="I519" i="15" s="1"/>
  <c r="I350" i="15"/>
  <c r="I335" i="15"/>
  <c r="I191" i="15"/>
  <c r="I206" i="15"/>
  <c r="H55" i="15"/>
  <c r="H466" i="15"/>
  <c r="I65" i="15"/>
  <c r="I50" i="15"/>
  <c r="I49" i="15"/>
  <c r="I64" i="15"/>
  <c r="I375" i="15"/>
  <c r="I388" i="15" s="1"/>
  <c r="I402" i="15" s="1"/>
  <c r="I188" i="15"/>
  <c r="I203" i="15"/>
  <c r="H291" i="15"/>
  <c r="H75" i="15"/>
  <c r="H70" i="15"/>
  <c r="H535" i="15" s="1"/>
  <c r="H217" i="15"/>
  <c r="I47" i="15"/>
  <c r="I62" i="15"/>
  <c r="I346" i="15"/>
  <c r="I192" i="15"/>
  <c r="I207" i="15"/>
  <c r="H220" i="15"/>
  <c r="I278" i="15"/>
  <c r="I263" i="15"/>
  <c r="I233" i="15"/>
  <c r="I246" i="15" s="1"/>
  <c r="H292" i="15"/>
  <c r="H150" i="15"/>
  <c r="I132" i="15"/>
  <c r="I117" i="15"/>
  <c r="I166" i="15"/>
  <c r="I179" i="15" s="1"/>
  <c r="H76" i="15"/>
  <c r="H364" i="15"/>
  <c r="F60" i="16"/>
  <c r="G17" i="16"/>
  <c r="G416" i="16" s="1"/>
  <c r="G479" i="15"/>
  <c r="G465" i="15"/>
  <c r="G481" i="15"/>
  <c r="I483" i="15"/>
  <c r="K483" i="15"/>
  <c r="J483" i="15"/>
  <c r="D483" i="15"/>
  <c r="E483" i="15"/>
  <c r="H483" i="15"/>
  <c r="F483" i="15"/>
  <c r="C483" i="15"/>
  <c r="B483" i="15"/>
  <c r="E197" i="15"/>
  <c r="F451" i="15"/>
  <c r="F495" i="15"/>
  <c r="F445" i="15"/>
  <c r="F489" i="15"/>
  <c r="G467" i="15"/>
  <c r="D437" i="15"/>
  <c r="D353" i="16" s="1"/>
  <c r="E363" i="15"/>
  <c r="H437" i="15"/>
  <c r="H353" i="16" s="1"/>
  <c r="J437" i="15"/>
  <c r="J353" i="16" s="1"/>
  <c r="F437" i="15"/>
  <c r="F353" i="16" s="1"/>
  <c r="K437" i="15"/>
  <c r="K353" i="16" s="1"/>
  <c r="I437" i="15"/>
  <c r="I353" i="16" s="1"/>
  <c r="L408" i="15"/>
  <c r="E437" i="15"/>
  <c r="E353" i="16" s="1"/>
  <c r="B437" i="15"/>
  <c r="B353" i="16" s="1"/>
  <c r="L423" i="15"/>
  <c r="C437" i="15"/>
  <c r="C353" i="16" s="1"/>
  <c r="G437" i="15"/>
  <c r="G353" i="16" s="1"/>
  <c r="D338" i="15"/>
  <c r="D353" i="15"/>
  <c r="D281" i="16" s="1"/>
  <c r="E338" i="15"/>
  <c r="E266" i="16" s="1"/>
  <c r="E353" i="15"/>
  <c r="E281" i="16" s="1"/>
  <c r="G338" i="15"/>
  <c r="G266" i="16" s="1"/>
  <c r="G353" i="15"/>
  <c r="G281" i="16" s="1"/>
  <c r="F338" i="15"/>
  <c r="F266" i="16" s="1"/>
  <c r="F353" i="15"/>
  <c r="F281" i="16" s="1"/>
  <c r="B338" i="15"/>
  <c r="B266" i="16" s="1"/>
  <c r="B353" i="15"/>
  <c r="B281" i="16" s="1"/>
  <c r="H338" i="15"/>
  <c r="H266" i="16" s="1"/>
  <c r="H353" i="15"/>
  <c r="H281" i="16" s="1"/>
  <c r="J338" i="15"/>
  <c r="J266" i="16" s="1"/>
  <c r="J353" i="15"/>
  <c r="J281" i="16" s="1"/>
  <c r="I338" i="15"/>
  <c r="I266" i="16" s="1"/>
  <c r="I353" i="15"/>
  <c r="I281" i="16" s="1"/>
  <c r="K338" i="15"/>
  <c r="K266" i="16" s="1"/>
  <c r="K353" i="15"/>
  <c r="K281" i="16" s="1"/>
  <c r="C325" i="15"/>
  <c r="C523" i="15" s="1"/>
  <c r="C338" i="15"/>
  <c r="E328" i="15"/>
  <c r="E256" i="16" s="1"/>
  <c r="D357" i="15"/>
  <c r="D285" i="16" s="1"/>
  <c r="F363" i="15"/>
  <c r="D363" i="15"/>
  <c r="D325" i="15"/>
  <c r="D523" i="15" s="1"/>
  <c r="E325" i="15"/>
  <c r="E523" i="15" s="1"/>
  <c r="B363" i="15"/>
  <c r="H363" i="15"/>
  <c r="L324" i="15"/>
  <c r="G363" i="15"/>
  <c r="C363" i="15"/>
  <c r="G151" i="15"/>
  <c r="G115" i="16" s="1"/>
  <c r="H122" i="15"/>
  <c r="H467" i="15" s="1"/>
  <c r="H137" i="15"/>
  <c r="H481" i="15" s="1"/>
  <c r="I108" i="15"/>
  <c r="G145" i="15"/>
  <c r="G109" i="16" s="1"/>
  <c r="G480" i="16" s="1"/>
  <c r="D226" i="15"/>
  <c r="D33" i="7" s="1"/>
  <c r="H116" i="15"/>
  <c r="H461" i="15" s="1"/>
  <c r="H131" i="15"/>
  <c r="H475" i="15" s="1"/>
  <c r="D295" i="15"/>
  <c r="K295" i="15"/>
  <c r="F295" i="15"/>
  <c r="G295" i="15"/>
  <c r="G235" i="16" s="1"/>
  <c r="I295" i="15"/>
  <c r="H295" i="15"/>
  <c r="J295" i="15"/>
  <c r="E295" i="15"/>
  <c r="L266" i="15"/>
  <c r="C295" i="15"/>
  <c r="B295" i="15"/>
  <c r="L281" i="15"/>
  <c r="F186" i="15"/>
  <c r="F138" i="16" s="1"/>
  <c r="F201" i="15"/>
  <c r="F183" i="15"/>
  <c r="F521" i="15" s="1"/>
  <c r="E215" i="15"/>
  <c r="E212" i="15"/>
  <c r="F126" i="15"/>
  <c r="F528" i="15" s="1"/>
  <c r="F112" i="15"/>
  <c r="F520" i="15" s="1"/>
  <c r="E126" i="15"/>
  <c r="E144" i="15"/>
  <c r="E141" i="15"/>
  <c r="G80" i="15"/>
  <c r="G78" i="15"/>
  <c r="G70" i="15"/>
  <c r="G535" i="15" s="1"/>
  <c r="G55" i="15"/>
  <c r="G24" i="8"/>
  <c r="H90" i="13"/>
  <c r="I12" i="16"/>
  <c r="I247" i="16"/>
  <c r="G98" i="11"/>
  <c r="J57" i="9"/>
  <c r="J72" i="9"/>
  <c r="I13" i="16"/>
  <c r="H79" i="8"/>
  <c r="H89" i="11"/>
  <c r="H228" i="16" s="1"/>
  <c r="J27" i="8"/>
  <c r="J42" i="8"/>
  <c r="H93" i="10"/>
  <c r="H114" i="16" s="1"/>
  <c r="H92" i="10"/>
  <c r="H113" i="16" s="1"/>
  <c r="H94" i="6"/>
  <c r="H174" i="16" s="1"/>
  <c r="I130" i="16"/>
  <c r="H84" i="13"/>
  <c r="H16" i="8" s="1"/>
  <c r="I9" i="16"/>
  <c r="J72" i="12"/>
  <c r="J57" i="12"/>
  <c r="J4" i="6"/>
  <c r="J32" i="6" s="1"/>
  <c r="J45" i="6" s="1"/>
  <c r="J10" i="6"/>
  <c r="J38" i="6" s="1"/>
  <c r="J51" i="6" s="1"/>
  <c r="K2" i="6"/>
  <c r="J5" i="6"/>
  <c r="J33" i="6" s="1"/>
  <c r="J9" i="6"/>
  <c r="J37" i="6" s="1"/>
  <c r="J8" i="6"/>
  <c r="J36" i="6" s="1"/>
  <c r="H69" i="13"/>
  <c r="H8" i="8" s="1"/>
  <c r="J36" i="9"/>
  <c r="K2" i="9"/>
  <c r="I248" i="16"/>
  <c r="H90" i="11"/>
  <c r="I189" i="16"/>
  <c r="H93" i="13"/>
  <c r="H350" i="16" s="1"/>
  <c r="H93" i="12"/>
  <c r="H291" i="16" s="1"/>
  <c r="H93" i="11"/>
  <c r="H232" i="16" s="1"/>
  <c r="I67" i="16"/>
  <c r="I145" i="16"/>
  <c r="I131" i="16"/>
  <c r="I160" i="16"/>
  <c r="H55" i="13"/>
  <c r="I11" i="16"/>
  <c r="K2" i="11"/>
  <c r="H76" i="8"/>
  <c r="K2" i="12"/>
  <c r="H92" i="9"/>
  <c r="J38" i="10"/>
  <c r="K2" i="10"/>
  <c r="J32" i="10"/>
  <c r="J33" i="10"/>
  <c r="J72" i="13"/>
  <c r="J57" i="13"/>
  <c r="J34" i="13"/>
  <c r="J47" i="13" s="1"/>
  <c r="K2" i="13"/>
  <c r="I125" i="16"/>
  <c r="I154" i="16"/>
  <c r="G58" i="8"/>
  <c r="I245" i="16"/>
  <c r="H55" i="12"/>
  <c r="I188" i="16"/>
  <c r="G98" i="10"/>
  <c r="G101" i="10"/>
  <c r="G172" i="15" s="1"/>
  <c r="H89" i="6"/>
  <c r="H169" i="16" s="1"/>
  <c r="H78" i="8"/>
  <c r="H89" i="9"/>
  <c r="H92" i="12"/>
  <c r="H290" i="16" s="1"/>
  <c r="H55" i="10"/>
  <c r="H88" i="6"/>
  <c r="H168" i="16" s="1"/>
  <c r="I186" i="16"/>
  <c r="H93" i="9"/>
  <c r="H75" i="8"/>
  <c r="H55" i="11"/>
  <c r="H89" i="10"/>
  <c r="H110" i="16" s="1"/>
  <c r="J72" i="11"/>
  <c r="J57" i="11"/>
  <c r="J57" i="10"/>
  <c r="J72" i="10"/>
  <c r="I129" i="16"/>
  <c r="H55" i="6"/>
  <c r="J72" i="6"/>
  <c r="J57" i="6"/>
  <c r="H34" i="8"/>
  <c r="G84" i="8"/>
  <c r="H55" i="9"/>
  <c r="H80" i="8"/>
  <c r="I126" i="16"/>
  <c r="B15" i="1" a="1"/>
  <c r="F29" i="1" a="1"/>
  <c r="F23" i="1" a="1"/>
  <c r="F25" i="1" a="1"/>
  <c r="D15" i="1" a="1"/>
  <c r="H95" i="8" a="1"/>
  <c r="I92" i="8" a="1"/>
  <c r="I90" i="8" a="1"/>
  <c r="I96" i="8" a="1"/>
  <c r="H94" i="8" a="1"/>
  <c r="H91" i="8" a="1"/>
  <c r="H253" i="16" l="1"/>
  <c r="H420" i="16" s="1"/>
  <c r="H93" i="6"/>
  <c r="H173" i="16" s="1"/>
  <c r="F25" i="1"/>
  <c r="H94" i="12"/>
  <c r="H292" i="16" s="1"/>
  <c r="H89" i="12"/>
  <c r="H287" i="16" s="1"/>
  <c r="I420" i="15"/>
  <c r="H50" i="8"/>
  <c r="H273" i="16"/>
  <c r="H84" i="9"/>
  <c r="H11" i="8" s="1"/>
  <c r="G23" i="8"/>
  <c r="H69" i="9"/>
  <c r="H3" i="8" s="1"/>
  <c r="H45" i="8"/>
  <c r="G101" i="6"/>
  <c r="H94" i="9"/>
  <c r="H56" i="16" s="1"/>
  <c r="H362" i="16"/>
  <c r="G22" i="8"/>
  <c r="G59" i="8"/>
  <c r="G98" i="6"/>
  <c r="G19" i="8"/>
  <c r="H90" i="9"/>
  <c r="G101" i="11"/>
  <c r="H49" i="8"/>
  <c r="H63" i="8" s="1"/>
  <c r="G98" i="13"/>
  <c r="G101" i="12"/>
  <c r="G101" i="13"/>
  <c r="H88" i="10"/>
  <c r="I61" i="15"/>
  <c r="I75" i="15" s="1"/>
  <c r="H69" i="6"/>
  <c r="H5" i="8" s="1"/>
  <c r="G98" i="12"/>
  <c r="G54" i="8"/>
  <c r="H84" i="6"/>
  <c r="H13" i="8" s="1"/>
  <c r="G101" i="9"/>
  <c r="I136" i="15"/>
  <c r="H69" i="10"/>
  <c r="H4" i="8" s="1"/>
  <c r="H92" i="6"/>
  <c r="H172" i="16" s="1"/>
  <c r="I511" i="15"/>
  <c r="H159" i="16"/>
  <c r="H278" i="16"/>
  <c r="H35" i="8"/>
  <c r="H463" i="15"/>
  <c r="I349" i="15"/>
  <c r="I363" i="15" s="1"/>
  <c r="G390" i="16"/>
  <c r="H84" i="11"/>
  <c r="H14" i="8" s="1"/>
  <c r="H378" i="16"/>
  <c r="G21" i="8"/>
  <c r="G20" i="8"/>
  <c r="G64" i="8"/>
  <c r="H69" i="12"/>
  <c r="H7" i="8" s="1"/>
  <c r="H31" i="8"/>
  <c r="G98" i="9"/>
  <c r="H94" i="10"/>
  <c r="H46" i="8"/>
  <c r="H90" i="12"/>
  <c r="H288" i="16" s="1"/>
  <c r="H84" i="12"/>
  <c r="H15" i="8" s="1"/>
  <c r="G100" i="8"/>
  <c r="J19" i="15"/>
  <c r="J32" i="15" s="1"/>
  <c r="J46" i="9"/>
  <c r="J8" i="16" s="1"/>
  <c r="I78" i="9"/>
  <c r="I40" i="16" s="1"/>
  <c r="I63" i="9"/>
  <c r="I25" i="16" s="1"/>
  <c r="J22" i="15"/>
  <c r="J35" i="15" s="1"/>
  <c r="J64" i="15" s="1"/>
  <c r="J49" i="9"/>
  <c r="J11" i="16" s="1"/>
  <c r="I60" i="9"/>
  <c r="I22" i="16" s="1"/>
  <c r="I75" i="9"/>
  <c r="G63" i="8"/>
  <c r="I64" i="9"/>
  <c r="I26" i="16" s="1"/>
  <c r="I79" i="9"/>
  <c r="I41" i="16" s="1"/>
  <c r="J20" i="15"/>
  <c r="J33" i="15" s="1"/>
  <c r="J62" i="15" s="1"/>
  <c r="J47" i="9"/>
  <c r="J23" i="15"/>
  <c r="J36" i="15" s="1"/>
  <c r="J65" i="15" s="1"/>
  <c r="J50" i="9"/>
  <c r="J12" i="16" s="1"/>
  <c r="I61" i="9"/>
  <c r="I23" i="16" s="1"/>
  <c r="I76" i="9"/>
  <c r="I38" i="16" s="1"/>
  <c r="I80" i="9"/>
  <c r="I42" i="16" s="1"/>
  <c r="I65" i="9"/>
  <c r="I27" i="16" s="1"/>
  <c r="J24" i="15"/>
  <c r="J37" i="15" s="1"/>
  <c r="J66" i="15" s="1"/>
  <c r="J51" i="9"/>
  <c r="J13" i="16" s="1"/>
  <c r="H48" i="8"/>
  <c r="I78" i="10"/>
  <c r="I99" i="16" s="1"/>
  <c r="I63" i="10"/>
  <c r="I84" i="16" s="1"/>
  <c r="H84" i="10"/>
  <c r="H12" i="8" s="1"/>
  <c r="H33" i="8"/>
  <c r="I75" i="10"/>
  <c r="I96" i="16" s="1"/>
  <c r="I60" i="10"/>
  <c r="I81" i="16" s="1"/>
  <c r="J94" i="15"/>
  <c r="J107" i="15" s="1"/>
  <c r="J50" i="10"/>
  <c r="J71" i="16" s="1"/>
  <c r="I70" i="16"/>
  <c r="I364" i="16" s="1"/>
  <c r="I59" i="10"/>
  <c r="I74" i="10"/>
  <c r="I64" i="10"/>
  <c r="I85" i="16" s="1"/>
  <c r="I79" i="10"/>
  <c r="I100" i="16" s="1"/>
  <c r="J95" i="15"/>
  <c r="J108" i="15" s="1"/>
  <c r="J51" i="10"/>
  <c r="J90" i="15"/>
  <c r="J103" i="15" s="1"/>
  <c r="J117" i="15" s="1"/>
  <c r="J46" i="10"/>
  <c r="J67" i="16" s="1"/>
  <c r="J93" i="15"/>
  <c r="J106" i="15" s="1"/>
  <c r="J49" i="10"/>
  <c r="I65" i="10"/>
  <c r="I80" i="10"/>
  <c r="J89" i="15"/>
  <c r="J102" i="15" s="1"/>
  <c r="J45" i="10"/>
  <c r="J65" i="6"/>
  <c r="J145" i="16" s="1"/>
  <c r="J80" i="6"/>
  <c r="J160" i="16" s="1"/>
  <c r="J59" i="6"/>
  <c r="J74" i="6"/>
  <c r="I64" i="6"/>
  <c r="I144" i="16" s="1"/>
  <c r="I79" i="6"/>
  <c r="I159" i="16" s="1"/>
  <c r="J164" i="15"/>
  <c r="J177" i="15" s="1"/>
  <c r="J206" i="15" s="1"/>
  <c r="J49" i="6"/>
  <c r="J165" i="15"/>
  <c r="J178" i="15" s="1"/>
  <c r="J192" i="15" s="1"/>
  <c r="J50" i="6"/>
  <c r="J130" i="16" s="1"/>
  <c r="I60" i="6"/>
  <c r="I140" i="16" s="1"/>
  <c r="I75" i="6"/>
  <c r="I155" i="16" s="1"/>
  <c r="I78" i="6"/>
  <c r="I158" i="16" s="1"/>
  <c r="I63" i="6"/>
  <c r="I143" i="16" s="1"/>
  <c r="J161" i="15"/>
  <c r="J174" i="15" s="1"/>
  <c r="J188" i="15" s="1"/>
  <c r="J46" i="6"/>
  <c r="J126" i="16" s="1"/>
  <c r="H91" i="8"/>
  <c r="H94" i="8"/>
  <c r="H95" i="8"/>
  <c r="I60" i="11"/>
  <c r="I199" i="16" s="1"/>
  <c r="I75" i="11"/>
  <c r="G39" i="8"/>
  <c r="I185" i="16"/>
  <c r="I361" i="16" s="1"/>
  <c r="H30" i="8"/>
  <c r="H59" i="8" s="1"/>
  <c r="H92" i="11"/>
  <c r="H231" i="16" s="1"/>
  <c r="F482" i="16"/>
  <c r="J236" i="15"/>
  <c r="J249" i="15" s="1"/>
  <c r="J50" i="11"/>
  <c r="H69" i="11"/>
  <c r="H6" i="8" s="1"/>
  <c r="I262" i="15"/>
  <c r="I465" i="15" s="1"/>
  <c r="J232" i="15"/>
  <c r="J46" i="11"/>
  <c r="J185" i="16" s="1"/>
  <c r="G394" i="16"/>
  <c r="I63" i="11"/>
  <c r="I202" i="16" s="1"/>
  <c r="I78" i="11"/>
  <c r="H214" i="16"/>
  <c r="H467" i="16" s="1"/>
  <c r="I64" i="11"/>
  <c r="I203" i="16" s="1"/>
  <c r="I456" i="16" s="1"/>
  <c r="I79" i="11"/>
  <c r="H217" i="16"/>
  <c r="H393" i="16" s="1"/>
  <c r="H468" i="16"/>
  <c r="I510" i="15"/>
  <c r="H453" i="16"/>
  <c r="J76" i="11"/>
  <c r="J61" i="11"/>
  <c r="J235" i="15"/>
  <c r="J248" i="15" s="1"/>
  <c r="J262" i="15" s="1"/>
  <c r="J49" i="11"/>
  <c r="H218" i="16"/>
  <c r="H471" i="16" s="1"/>
  <c r="J308" i="15"/>
  <c r="J321" i="15" s="1"/>
  <c r="J335" i="15" s="1"/>
  <c r="J51" i="12"/>
  <c r="J249" i="16" s="1"/>
  <c r="I63" i="12"/>
  <c r="I261" i="16" s="1"/>
  <c r="I78" i="12"/>
  <c r="I276" i="16" s="1"/>
  <c r="J307" i="15"/>
  <c r="J320" i="15" s="1"/>
  <c r="J50" i="12"/>
  <c r="J248" i="16" s="1"/>
  <c r="I345" i="15"/>
  <c r="I359" i="15" s="1"/>
  <c r="I79" i="12"/>
  <c r="I277" i="16" s="1"/>
  <c r="I64" i="12"/>
  <c r="I262" i="16" s="1"/>
  <c r="J303" i="15"/>
  <c r="J316" i="15" s="1"/>
  <c r="J345" i="15" s="1"/>
  <c r="J46" i="12"/>
  <c r="J244" i="16" s="1"/>
  <c r="H379" i="16"/>
  <c r="J304" i="15"/>
  <c r="J317" i="15" s="1"/>
  <c r="J47" i="12"/>
  <c r="H375" i="16"/>
  <c r="I61" i="12"/>
  <c r="I76" i="12"/>
  <c r="I65" i="12"/>
  <c r="I263" i="16" s="1"/>
  <c r="I80" i="12"/>
  <c r="J306" i="15"/>
  <c r="J319" i="15" s="1"/>
  <c r="J49" i="12"/>
  <c r="I75" i="12"/>
  <c r="I273" i="16" s="1"/>
  <c r="I60" i="12"/>
  <c r="I258" i="16" s="1"/>
  <c r="J378" i="15"/>
  <c r="J391" i="15" s="1"/>
  <c r="J405" i="15" s="1"/>
  <c r="J50" i="13"/>
  <c r="J307" i="16" s="1"/>
  <c r="J76" i="13"/>
  <c r="J61" i="13"/>
  <c r="J374" i="15"/>
  <c r="J387" i="15" s="1"/>
  <c r="J401" i="15" s="1"/>
  <c r="J46" i="13"/>
  <c r="I79" i="13"/>
  <c r="I336" i="16" s="1"/>
  <c r="I64" i="13"/>
  <c r="I321" i="16" s="1"/>
  <c r="H89" i="13"/>
  <c r="H346" i="16" s="1"/>
  <c r="I75" i="13"/>
  <c r="I332" i="16" s="1"/>
  <c r="I60" i="13"/>
  <c r="I317" i="16" s="1"/>
  <c r="H382" i="16"/>
  <c r="H459" i="16"/>
  <c r="G382" i="16"/>
  <c r="G459" i="16"/>
  <c r="L221" i="16"/>
  <c r="G474" i="16"/>
  <c r="I382" i="16"/>
  <c r="I459" i="16"/>
  <c r="J382" i="16"/>
  <c r="J459" i="16"/>
  <c r="G488" i="16"/>
  <c r="K382" i="16"/>
  <c r="K459" i="16"/>
  <c r="I72" i="16"/>
  <c r="I366" i="16" s="1"/>
  <c r="D544" i="15"/>
  <c r="F23" i="1"/>
  <c r="F29" i="1"/>
  <c r="B15" i="1"/>
  <c r="D15" i="1"/>
  <c r="D545" i="15"/>
  <c r="C545" i="15"/>
  <c r="I90" i="8"/>
  <c r="G90" i="16"/>
  <c r="G425" i="16" s="1"/>
  <c r="G451" i="16"/>
  <c r="H477" i="15"/>
  <c r="G491" i="15"/>
  <c r="H312" i="16"/>
  <c r="H421" i="16" s="1"/>
  <c r="I96" i="8"/>
  <c r="I92" i="8"/>
  <c r="H76" i="16"/>
  <c r="H417" i="16" s="1"/>
  <c r="C227" i="15"/>
  <c r="H360" i="16"/>
  <c r="I318" i="16"/>
  <c r="I304" i="16"/>
  <c r="I312" i="16" s="1"/>
  <c r="I421" i="16" s="1"/>
  <c r="D156" i="15"/>
  <c r="G411" i="16"/>
  <c r="L368" i="16"/>
  <c r="I66" i="16"/>
  <c r="G374" i="16"/>
  <c r="B382" i="16"/>
  <c r="K5" i="13"/>
  <c r="K33" i="13" s="1"/>
  <c r="K9" i="13"/>
  <c r="K37" i="13" s="1"/>
  <c r="E267" i="16"/>
  <c r="E428" i="16" s="1"/>
  <c r="E450" i="16"/>
  <c r="K9" i="11"/>
  <c r="K37" i="11" s="1"/>
  <c r="K8" i="11"/>
  <c r="K36" i="11" s="1"/>
  <c r="K6" i="11"/>
  <c r="K34" i="11" s="1"/>
  <c r="K47" i="11" s="1"/>
  <c r="K5" i="11"/>
  <c r="K33" i="11" s="1"/>
  <c r="K10" i="9"/>
  <c r="K38" i="9" s="1"/>
  <c r="K9" i="9"/>
  <c r="K37" i="9" s="1"/>
  <c r="K8" i="9"/>
  <c r="K36" i="9" s="1"/>
  <c r="K6" i="9"/>
  <c r="K34" i="9" s="1"/>
  <c r="K5" i="9"/>
  <c r="K33" i="9" s="1"/>
  <c r="E282" i="16"/>
  <c r="E436" i="16" s="1"/>
  <c r="B497" i="15"/>
  <c r="B235" i="16"/>
  <c r="B488" i="16" s="1"/>
  <c r="E460" i="15"/>
  <c r="D282" i="16"/>
  <c r="D436" i="16" s="1"/>
  <c r="K5" i="10"/>
  <c r="K33" i="10" s="1"/>
  <c r="K9" i="10"/>
  <c r="K8" i="10"/>
  <c r="K36" i="10" s="1"/>
  <c r="K9" i="12"/>
  <c r="K37" i="12" s="1"/>
  <c r="K8" i="12"/>
  <c r="K36" i="12" s="1"/>
  <c r="K6" i="12"/>
  <c r="K34" i="12" s="1"/>
  <c r="K5" i="12"/>
  <c r="K33" i="12" s="1"/>
  <c r="K10" i="12"/>
  <c r="K38" i="12" s="1"/>
  <c r="H391" i="16"/>
  <c r="H341" i="16"/>
  <c r="H376" i="16"/>
  <c r="H326" i="16"/>
  <c r="H429" i="16" s="1"/>
  <c r="G403" i="16"/>
  <c r="H51" i="16"/>
  <c r="I455" i="16"/>
  <c r="J497" i="15"/>
  <c r="J235" i="16"/>
  <c r="J411" i="16" s="1"/>
  <c r="L353" i="16"/>
  <c r="H86" i="16"/>
  <c r="H457" i="16" s="1"/>
  <c r="F382" i="16"/>
  <c r="G484" i="16"/>
  <c r="G407" i="16"/>
  <c r="L177" i="16"/>
  <c r="C178" i="16"/>
  <c r="C442" i="16" s="1"/>
  <c r="I253" i="16"/>
  <c r="I420" i="16" s="1"/>
  <c r="E142" i="15"/>
  <c r="E536" i="15"/>
  <c r="F153" i="16"/>
  <c r="H497" i="15"/>
  <c r="H235" i="16"/>
  <c r="H411" i="16" s="1"/>
  <c r="H54" i="16"/>
  <c r="E155" i="15"/>
  <c r="E32" i="7" s="1"/>
  <c r="E108" i="16"/>
  <c r="F149" i="16"/>
  <c r="F426" i="16" s="1"/>
  <c r="I497" i="15"/>
  <c r="I235" i="16"/>
  <c r="I411" i="16" s="1"/>
  <c r="G481" i="16"/>
  <c r="G404" i="16"/>
  <c r="G389" i="16"/>
  <c r="G105" i="16"/>
  <c r="G433" i="16" s="1"/>
  <c r="D382" i="16"/>
  <c r="E127" i="15"/>
  <c r="E528" i="15"/>
  <c r="C339" i="15"/>
  <c r="C531" i="15" s="1"/>
  <c r="C266" i="16"/>
  <c r="H56" i="15"/>
  <c r="H527" i="15"/>
  <c r="G408" i="16"/>
  <c r="G485" i="16"/>
  <c r="H80" i="16"/>
  <c r="H451" i="16" s="1"/>
  <c r="G505" i="15"/>
  <c r="G124" i="16"/>
  <c r="I452" i="16"/>
  <c r="F497" i="15"/>
  <c r="F235" i="16"/>
  <c r="F488" i="16" s="1"/>
  <c r="E382" i="16"/>
  <c r="E164" i="16"/>
  <c r="E434" i="16" s="1"/>
  <c r="E388" i="16"/>
  <c r="G56" i="15"/>
  <c r="G527" i="15"/>
  <c r="C497" i="15"/>
  <c r="C235" i="16"/>
  <c r="C488" i="16" s="1"/>
  <c r="K497" i="15"/>
  <c r="K235" i="16"/>
  <c r="K411" i="16" s="1"/>
  <c r="E198" i="15"/>
  <c r="E529" i="15"/>
  <c r="G482" i="16"/>
  <c r="G405" i="16"/>
  <c r="H95" i="16"/>
  <c r="H466" i="16" s="1"/>
  <c r="H55" i="16"/>
  <c r="H52" i="16"/>
  <c r="I365" i="16"/>
  <c r="E213" i="15"/>
  <c r="E537" i="15"/>
  <c r="D497" i="15"/>
  <c r="D235" i="16"/>
  <c r="D488" i="16" s="1"/>
  <c r="D339" i="15"/>
  <c r="D531" i="15" s="1"/>
  <c r="D266" i="16"/>
  <c r="L206" i="16"/>
  <c r="C382" i="16"/>
  <c r="F135" i="16"/>
  <c r="F418" i="16" s="1"/>
  <c r="F359" i="16"/>
  <c r="E373" i="16"/>
  <c r="G397" i="16"/>
  <c r="L397" i="16" s="1"/>
  <c r="H101" i="16"/>
  <c r="H472" i="16" s="1"/>
  <c r="E226" i="15"/>
  <c r="E33" i="7" s="1"/>
  <c r="E167" i="16"/>
  <c r="E497" i="15"/>
  <c r="E235" i="16"/>
  <c r="E488" i="16" s="1"/>
  <c r="G486" i="16"/>
  <c r="G409" i="16"/>
  <c r="L281" i="16"/>
  <c r="D119" i="16"/>
  <c r="D441" i="16" s="1"/>
  <c r="F440" i="16"/>
  <c r="G71" i="15"/>
  <c r="G46" i="16"/>
  <c r="G432" i="16" s="1"/>
  <c r="H71" i="15"/>
  <c r="H46" i="16"/>
  <c r="H432" i="16" s="1"/>
  <c r="I150" i="15"/>
  <c r="H216" i="15"/>
  <c r="H289" i="15"/>
  <c r="H229" i="16" s="1"/>
  <c r="H431" i="15"/>
  <c r="H347" i="16" s="1"/>
  <c r="H31" i="16"/>
  <c r="H424" i="16" s="1"/>
  <c r="G447" i="15"/>
  <c r="H222" i="15"/>
  <c r="G60" i="16"/>
  <c r="I220" i="15"/>
  <c r="I149" i="15"/>
  <c r="I260" i="15"/>
  <c r="I463" i="15" s="1"/>
  <c r="I508" i="15"/>
  <c r="I275" i="15"/>
  <c r="I215" i="16" s="1"/>
  <c r="I202" i="15"/>
  <c r="I187" i="15"/>
  <c r="I193" i="15"/>
  <c r="I208" i="15"/>
  <c r="J263" i="15"/>
  <c r="J278" i="15"/>
  <c r="J375" i="15"/>
  <c r="J388" i="15" s="1"/>
  <c r="J333" i="15"/>
  <c r="J348" i="15"/>
  <c r="I17" i="16"/>
  <c r="I416" i="16" s="1"/>
  <c r="J166" i="15"/>
  <c r="J179" i="15" s="1"/>
  <c r="I364" i="15"/>
  <c r="I362" i="15"/>
  <c r="I430" i="15"/>
  <c r="I76" i="15"/>
  <c r="J330" i="15"/>
  <c r="J160" i="15"/>
  <c r="J173" i="15" s="1"/>
  <c r="J120" i="15"/>
  <c r="J135" i="15"/>
  <c r="I417" i="15"/>
  <c r="I431" i="15" s="1"/>
  <c r="I146" i="15"/>
  <c r="I292" i="15"/>
  <c r="I217" i="15"/>
  <c r="I78" i="15"/>
  <c r="I479" i="15"/>
  <c r="J46" i="15"/>
  <c r="J61" i="15"/>
  <c r="J233" i="15"/>
  <c r="J246" i="15" s="1"/>
  <c r="J186" i="16" s="1"/>
  <c r="J334" i="15"/>
  <c r="J349" i="15"/>
  <c r="I506" i="15"/>
  <c r="I512" i="15"/>
  <c r="I480" i="15"/>
  <c r="I221" i="15"/>
  <c r="I55" i="15"/>
  <c r="J346" i="15"/>
  <c r="J331" i="15"/>
  <c r="H449" i="15"/>
  <c r="I466" i="15"/>
  <c r="H493" i="15"/>
  <c r="J416" i="15"/>
  <c r="I360" i="15"/>
  <c r="H84" i="15"/>
  <c r="I79" i="15"/>
  <c r="I80" i="15"/>
  <c r="G31" i="16"/>
  <c r="G424" i="16" s="1"/>
  <c r="F104" i="8"/>
  <c r="F197" i="15"/>
  <c r="G495" i="15"/>
  <c r="G445" i="15"/>
  <c r="G489" i="15"/>
  <c r="G497" i="15"/>
  <c r="D227" i="15"/>
  <c r="F127" i="15"/>
  <c r="G449" i="15"/>
  <c r="G493" i="15"/>
  <c r="J453" i="15"/>
  <c r="H453" i="15"/>
  <c r="E453" i="15"/>
  <c r="I453" i="15"/>
  <c r="C453" i="15"/>
  <c r="G451" i="15"/>
  <c r="D453" i="15"/>
  <c r="K453" i="15"/>
  <c r="G453" i="15"/>
  <c r="F453" i="15"/>
  <c r="B453" i="15"/>
  <c r="F434" i="15"/>
  <c r="D434" i="15"/>
  <c r="G434" i="15"/>
  <c r="C434" i="15"/>
  <c r="C428" i="15"/>
  <c r="C344" i="16" s="1"/>
  <c r="C479" i="16" s="1"/>
  <c r="E434" i="15"/>
  <c r="I434" i="15"/>
  <c r="B428" i="15"/>
  <c r="B344" i="16" s="1"/>
  <c r="B479" i="16" s="1"/>
  <c r="D428" i="15"/>
  <c r="D344" i="16" s="1"/>
  <c r="D479" i="16" s="1"/>
  <c r="E428" i="15"/>
  <c r="G396" i="15"/>
  <c r="G524" i="15" s="1"/>
  <c r="F428" i="15"/>
  <c r="F344" i="16" s="1"/>
  <c r="H434" i="15"/>
  <c r="B434" i="15"/>
  <c r="F328" i="15"/>
  <c r="F460" i="15" s="1"/>
  <c r="F343" i="15"/>
  <c r="F271" i="16" s="1"/>
  <c r="F465" i="16" s="1"/>
  <c r="E357" i="15"/>
  <c r="E285" i="16" s="1"/>
  <c r="E339" i="15"/>
  <c r="F325" i="15"/>
  <c r="F523" i="15" s="1"/>
  <c r="E367" i="15"/>
  <c r="E295" i="16" s="1"/>
  <c r="J367" i="15"/>
  <c r="J295" i="16" s="1"/>
  <c r="C367" i="15"/>
  <c r="H367" i="15"/>
  <c r="H295" i="16" s="1"/>
  <c r="B367" i="15"/>
  <c r="B295" i="16" s="1"/>
  <c r="L353" i="15"/>
  <c r="E354" i="15"/>
  <c r="L338" i="15"/>
  <c r="F367" i="15"/>
  <c r="F295" i="16" s="1"/>
  <c r="C354" i="15"/>
  <c r="G367" i="15"/>
  <c r="G295" i="16" s="1"/>
  <c r="I367" i="15"/>
  <c r="I295" i="16" s="1"/>
  <c r="K367" i="15"/>
  <c r="K295" i="16" s="1"/>
  <c r="D367" i="15"/>
  <c r="D354" i="15"/>
  <c r="H151" i="15"/>
  <c r="I122" i="15"/>
  <c r="I467" i="15" s="1"/>
  <c r="I137" i="15"/>
  <c r="I481" i="15" s="1"/>
  <c r="H145" i="15"/>
  <c r="H109" i="16" s="1"/>
  <c r="I116" i="15"/>
  <c r="I461" i="15" s="1"/>
  <c r="I131" i="15"/>
  <c r="I475" i="15" s="1"/>
  <c r="G186" i="15"/>
  <c r="G138" i="16" s="1"/>
  <c r="G201" i="15"/>
  <c r="G183" i="15"/>
  <c r="G521" i="15" s="1"/>
  <c r="F215" i="15"/>
  <c r="F212" i="15"/>
  <c r="G126" i="15"/>
  <c r="G528" i="15" s="1"/>
  <c r="G112" i="15"/>
  <c r="G520" i="15" s="1"/>
  <c r="F144" i="15"/>
  <c r="F141" i="15"/>
  <c r="G84" i="15"/>
  <c r="G31" i="7" s="1"/>
  <c r="H24" i="8"/>
  <c r="I93" i="10"/>
  <c r="I114" i="16" s="1"/>
  <c r="I89" i="10"/>
  <c r="I55" i="13"/>
  <c r="I92" i="10"/>
  <c r="I113" i="16" s="1"/>
  <c r="I90" i="11"/>
  <c r="I90" i="13"/>
  <c r="I76" i="8"/>
  <c r="H84" i="8"/>
  <c r="I80" i="8"/>
  <c r="G68" i="8"/>
  <c r="G104" i="8" s="1"/>
  <c r="I93" i="9"/>
  <c r="I89" i="6"/>
  <c r="I169" i="16" s="1"/>
  <c r="K72" i="10"/>
  <c r="K57" i="10"/>
  <c r="J70" i="16"/>
  <c r="I94" i="6"/>
  <c r="I174" i="16" s="1"/>
  <c r="K72" i="12"/>
  <c r="K57" i="12"/>
  <c r="K72" i="9"/>
  <c r="K57" i="9"/>
  <c r="K27" i="8"/>
  <c r="K42" i="8"/>
  <c r="K72" i="6"/>
  <c r="K57" i="6"/>
  <c r="H58" i="8"/>
  <c r="I88" i="6"/>
  <c r="I168" i="16" s="1"/>
  <c r="J188" i="16"/>
  <c r="I79" i="8"/>
  <c r="K4" i="6"/>
  <c r="K32" i="6" s="1"/>
  <c r="K45" i="6" s="1"/>
  <c r="K9" i="6"/>
  <c r="K37" i="6" s="1"/>
  <c r="K8" i="6"/>
  <c r="K36" i="6" s="1"/>
  <c r="K5" i="6"/>
  <c r="K33" i="6" s="1"/>
  <c r="K10" i="6"/>
  <c r="K38" i="6" s="1"/>
  <c r="K51" i="6" s="1"/>
  <c r="J247" i="16"/>
  <c r="K32" i="10"/>
  <c r="K37" i="10"/>
  <c r="K38" i="10"/>
  <c r="K72" i="13"/>
  <c r="K57" i="13"/>
  <c r="I55" i="11"/>
  <c r="K57" i="11"/>
  <c r="K72" i="11"/>
  <c r="K34" i="13"/>
  <c r="K47" i="13" s="1"/>
  <c r="I75" i="8"/>
  <c r="I55" i="9"/>
  <c r="J131" i="16"/>
  <c r="I55" i="12"/>
  <c r="I55" i="10"/>
  <c r="J189" i="16"/>
  <c r="J139" i="16"/>
  <c r="J125" i="16"/>
  <c r="J154" i="16"/>
  <c r="I44" i="8"/>
  <c r="I88" i="10"/>
  <c r="I55" i="6"/>
  <c r="H64" i="8"/>
  <c r="J303" i="16"/>
  <c r="I78" i="8"/>
  <c r="I29" i="8"/>
  <c r="G23" i="1" a="1"/>
  <c r="H27" i="1" a="1"/>
  <c r="G27" i="1" a="1"/>
  <c r="E31" i="1" a="1"/>
  <c r="J31" i="1" a="1"/>
  <c r="G29" i="1" a="1"/>
  <c r="G25" i="1" a="1"/>
  <c r="F31" i="1" a="1"/>
  <c r="K31" i="1" a="1"/>
  <c r="I31" i="1" a="1"/>
  <c r="D31" i="1" a="1"/>
  <c r="G31" i="1" a="1"/>
  <c r="C31" i="1" a="1"/>
  <c r="B31" i="1" a="1"/>
  <c r="H31" i="1" a="1"/>
  <c r="J96" i="8" a="1"/>
  <c r="J92" i="8" a="1"/>
  <c r="I91" i="8" a="1"/>
  <c r="J90" i="8" a="1"/>
  <c r="I95" i="8" a="1"/>
  <c r="I94" i="8" a="1"/>
  <c r="I89" i="11" l="1"/>
  <c r="I228" i="16" s="1"/>
  <c r="H19" i="8"/>
  <c r="H21" i="8"/>
  <c r="H31" i="7"/>
  <c r="H98" i="9"/>
  <c r="I84" i="13"/>
  <c r="I16" i="8" s="1"/>
  <c r="J510" i="15"/>
  <c r="H98" i="13"/>
  <c r="H115" i="16"/>
  <c r="H409" i="16" s="1"/>
  <c r="J277" i="15"/>
  <c r="H98" i="6"/>
  <c r="I93" i="11"/>
  <c r="I232" i="16" s="1"/>
  <c r="H101" i="9"/>
  <c r="H394" i="16"/>
  <c r="I92" i="11"/>
  <c r="I231" i="16" s="1"/>
  <c r="H101" i="10"/>
  <c r="H172" i="15" s="1"/>
  <c r="I30" i="8"/>
  <c r="I84" i="10"/>
  <c r="I12" i="8" s="1"/>
  <c r="I69" i="11"/>
  <c r="I6" i="8" s="1"/>
  <c r="H20" i="8"/>
  <c r="H101" i="6"/>
  <c r="J9" i="16"/>
  <c r="H54" i="8"/>
  <c r="I89" i="13"/>
  <c r="I346" i="16" s="1"/>
  <c r="J50" i="15"/>
  <c r="J79" i="15" s="1"/>
  <c r="I70" i="15"/>
  <c r="I535" i="15" s="1"/>
  <c r="J47" i="15"/>
  <c r="J51" i="15"/>
  <c r="H22" i="8"/>
  <c r="I35" i="8"/>
  <c r="J203" i="15"/>
  <c r="J191" i="15"/>
  <c r="I69" i="12"/>
  <c r="I7" i="8" s="1"/>
  <c r="I92" i="9"/>
  <c r="I54" i="16" s="1"/>
  <c r="H98" i="10"/>
  <c r="J132" i="15"/>
  <c r="I94" i="12"/>
  <c r="I292" i="16" s="1"/>
  <c r="J511" i="15"/>
  <c r="H60" i="8"/>
  <c r="H98" i="12"/>
  <c r="J420" i="15"/>
  <c r="J434" i="15" s="1"/>
  <c r="J49" i="15"/>
  <c r="H470" i="16"/>
  <c r="H101" i="13"/>
  <c r="H98" i="11"/>
  <c r="H491" i="15"/>
  <c r="H62" i="8"/>
  <c r="H101" i="11"/>
  <c r="J41" i="15"/>
  <c r="J519" i="15" s="1"/>
  <c r="I93" i="12"/>
  <c r="I291" i="16" s="1"/>
  <c r="J207" i="15"/>
  <c r="J350" i="15"/>
  <c r="J136" i="15"/>
  <c r="I90" i="12"/>
  <c r="I288" i="16" s="1"/>
  <c r="H23" i="8"/>
  <c r="I259" i="16"/>
  <c r="I46" i="8"/>
  <c r="I274" i="16"/>
  <c r="H101" i="12"/>
  <c r="I94" i="10"/>
  <c r="I278" i="16"/>
  <c r="I84" i="6"/>
  <c r="I13" i="8" s="1"/>
  <c r="I69" i="6"/>
  <c r="I5" i="8" s="1"/>
  <c r="I84" i="9"/>
  <c r="I11" i="8" s="1"/>
  <c r="I50" i="8"/>
  <c r="I92" i="12"/>
  <c r="I290" i="16" s="1"/>
  <c r="I326" i="16"/>
  <c r="I429" i="16" s="1"/>
  <c r="I93" i="6"/>
  <c r="I173" i="16" s="1"/>
  <c r="I94" i="9"/>
  <c r="I56" i="16" s="1"/>
  <c r="I69" i="10"/>
  <c r="I4" i="8" s="1"/>
  <c r="I48" i="8"/>
  <c r="I84" i="12"/>
  <c r="I15" i="8" s="1"/>
  <c r="I378" i="16"/>
  <c r="H100" i="8"/>
  <c r="J64" i="9"/>
  <c r="J26" i="16" s="1"/>
  <c r="J79" i="9"/>
  <c r="J41" i="16" s="1"/>
  <c r="I90" i="9"/>
  <c r="I37" i="16"/>
  <c r="I46" i="16" s="1"/>
  <c r="I432" i="16" s="1"/>
  <c r="J63" i="9"/>
  <c r="J25" i="16" s="1"/>
  <c r="J78" i="9"/>
  <c r="J40" i="16" s="1"/>
  <c r="I69" i="9"/>
  <c r="I3" i="8" s="1"/>
  <c r="J80" i="9"/>
  <c r="J42" i="16" s="1"/>
  <c r="J65" i="9"/>
  <c r="J27" i="16" s="1"/>
  <c r="J76" i="9"/>
  <c r="J38" i="16" s="1"/>
  <c r="J61" i="9"/>
  <c r="J23" i="16" s="1"/>
  <c r="I31" i="8"/>
  <c r="K19" i="15"/>
  <c r="K32" i="15" s="1"/>
  <c r="K46" i="9"/>
  <c r="K24" i="15"/>
  <c r="K37" i="15" s="1"/>
  <c r="L37" i="15" s="1"/>
  <c r="K51" i="9"/>
  <c r="I45" i="8"/>
  <c r="K20" i="15"/>
  <c r="K33" i="15" s="1"/>
  <c r="L33" i="15" s="1"/>
  <c r="K47" i="9"/>
  <c r="I89" i="9"/>
  <c r="I51" i="16" s="1"/>
  <c r="K22" i="15"/>
  <c r="K35" i="15" s="1"/>
  <c r="L35" i="15" s="1"/>
  <c r="K49" i="9"/>
  <c r="J60" i="9"/>
  <c r="J22" i="16" s="1"/>
  <c r="J75" i="9"/>
  <c r="J37" i="16" s="1"/>
  <c r="K23" i="15"/>
  <c r="K36" i="15" s="1"/>
  <c r="K65" i="15" s="1"/>
  <c r="K50" i="9"/>
  <c r="J74" i="10"/>
  <c r="J59" i="10"/>
  <c r="J29" i="8" s="1"/>
  <c r="J80" i="10"/>
  <c r="J65" i="10"/>
  <c r="J121" i="15"/>
  <c r="J150" i="15" s="1"/>
  <c r="K95" i="15"/>
  <c r="K108" i="15" s="1"/>
  <c r="K51" i="10"/>
  <c r="K93" i="15"/>
  <c r="K106" i="15" s="1"/>
  <c r="K120" i="15" s="1"/>
  <c r="L120" i="15" s="1"/>
  <c r="K49" i="10"/>
  <c r="K94" i="15"/>
  <c r="K107" i="15" s="1"/>
  <c r="K136" i="15" s="1"/>
  <c r="K50" i="10"/>
  <c r="K89" i="15"/>
  <c r="K45" i="10"/>
  <c r="K90" i="15"/>
  <c r="K103" i="15" s="1"/>
  <c r="K132" i="15" s="1"/>
  <c r="K46" i="10"/>
  <c r="J78" i="10"/>
  <c r="J99" i="16" s="1"/>
  <c r="J63" i="10"/>
  <c r="J84" i="16" s="1"/>
  <c r="J75" i="10"/>
  <c r="J96" i="16" s="1"/>
  <c r="J60" i="10"/>
  <c r="J81" i="16" s="1"/>
  <c r="J64" i="10"/>
  <c r="J85" i="16" s="1"/>
  <c r="J79" i="10"/>
  <c r="J100" i="16" s="1"/>
  <c r="J60" i="6"/>
  <c r="J140" i="16" s="1"/>
  <c r="J75" i="6"/>
  <c r="J155" i="16" s="1"/>
  <c r="J63" i="6"/>
  <c r="J143" i="16" s="1"/>
  <c r="J78" i="6"/>
  <c r="J158" i="16" s="1"/>
  <c r="I33" i="8"/>
  <c r="K80" i="6"/>
  <c r="K160" i="16" s="1"/>
  <c r="L160" i="16" s="1"/>
  <c r="K65" i="6"/>
  <c r="J129" i="16"/>
  <c r="J364" i="16" s="1"/>
  <c r="K164" i="15"/>
  <c r="K177" i="15" s="1"/>
  <c r="K206" i="15" s="1"/>
  <c r="K49" i="6"/>
  <c r="I92" i="6"/>
  <c r="I172" i="16" s="1"/>
  <c r="K161" i="15"/>
  <c r="K174" i="15" s="1"/>
  <c r="K46" i="6"/>
  <c r="H39" i="8"/>
  <c r="K165" i="15"/>
  <c r="K178" i="15" s="1"/>
  <c r="K50" i="6"/>
  <c r="K59" i="6"/>
  <c r="K139" i="16" s="1"/>
  <c r="L139" i="16" s="1"/>
  <c r="K74" i="6"/>
  <c r="K154" i="16" s="1"/>
  <c r="L154" i="16" s="1"/>
  <c r="J64" i="6"/>
  <c r="J144" i="16" s="1"/>
  <c r="J79" i="6"/>
  <c r="J159" i="16" s="1"/>
  <c r="I379" i="16"/>
  <c r="I375" i="16"/>
  <c r="I95" i="8"/>
  <c r="I91" i="8"/>
  <c r="I94" i="8"/>
  <c r="K232" i="15"/>
  <c r="K46" i="11"/>
  <c r="I218" i="16"/>
  <c r="I394" i="16" s="1"/>
  <c r="J60" i="11"/>
  <c r="J199" i="16" s="1"/>
  <c r="J452" i="16" s="1"/>
  <c r="J75" i="11"/>
  <c r="I291" i="15"/>
  <c r="K61" i="11"/>
  <c r="K76" i="11"/>
  <c r="I84" i="11"/>
  <c r="I14" i="8" s="1"/>
  <c r="I22" i="8" s="1"/>
  <c r="K236" i="15"/>
  <c r="K249" i="15" s="1"/>
  <c r="K263" i="15" s="1"/>
  <c r="L263" i="15" s="1"/>
  <c r="K50" i="11"/>
  <c r="H488" i="16"/>
  <c r="I214" i="16"/>
  <c r="I467" i="16" s="1"/>
  <c r="I217" i="16"/>
  <c r="I470" i="16" s="1"/>
  <c r="J79" i="11"/>
  <c r="J64" i="11"/>
  <c r="J203" i="16" s="1"/>
  <c r="J456" i="16" s="1"/>
  <c r="K235" i="15"/>
  <c r="K248" i="15" s="1"/>
  <c r="K262" i="15" s="1"/>
  <c r="L262" i="15" s="1"/>
  <c r="K49" i="11"/>
  <c r="I49" i="8"/>
  <c r="J78" i="11"/>
  <c r="J63" i="11"/>
  <c r="J202" i="16" s="1"/>
  <c r="H390" i="16"/>
  <c r="K304" i="15"/>
  <c r="K317" i="15" s="1"/>
  <c r="K346" i="15" s="1"/>
  <c r="K47" i="12"/>
  <c r="I89" i="12"/>
  <c r="I287" i="16" s="1"/>
  <c r="K306" i="15"/>
  <c r="K319" i="15" s="1"/>
  <c r="K333" i="15" s="1"/>
  <c r="L333" i="15" s="1"/>
  <c r="K49" i="12"/>
  <c r="J78" i="12"/>
  <c r="J276" i="16" s="1"/>
  <c r="J63" i="12"/>
  <c r="J261" i="16" s="1"/>
  <c r="J64" i="12"/>
  <c r="J262" i="16" s="1"/>
  <c r="J79" i="12"/>
  <c r="J277" i="16" s="1"/>
  <c r="J61" i="12"/>
  <c r="J259" i="16" s="1"/>
  <c r="J76" i="12"/>
  <c r="J274" i="16" s="1"/>
  <c r="J245" i="16"/>
  <c r="J253" i="16" s="1"/>
  <c r="J420" i="16" s="1"/>
  <c r="K307" i="15"/>
  <c r="K320" i="15" s="1"/>
  <c r="K349" i="15" s="1"/>
  <c r="L349" i="15" s="1"/>
  <c r="K50" i="12"/>
  <c r="J75" i="12"/>
  <c r="J60" i="12"/>
  <c r="J258" i="16" s="1"/>
  <c r="J65" i="12"/>
  <c r="J263" i="16" s="1"/>
  <c r="J80" i="12"/>
  <c r="K308" i="15"/>
  <c r="K321" i="15" s="1"/>
  <c r="K51" i="12"/>
  <c r="K303" i="15"/>
  <c r="K316" i="15" s="1"/>
  <c r="K330" i="15" s="1"/>
  <c r="L330" i="15" s="1"/>
  <c r="K46" i="12"/>
  <c r="J75" i="13"/>
  <c r="J332" i="16" s="1"/>
  <c r="J60" i="13"/>
  <c r="J317" i="16" s="1"/>
  <c r="I34" i="8"/>
  <c r="I69" i="13"/>
  <c r="I8" i="8" s="1"/>
  <c r="I24" i="8" s="1"/>
  <c r="K374" i="15"/>
  <c r="K387" i="15" s="1"/>
  <c r="K416" i="15" s="1"/>
  <c r="K46" i="13"/>
  <c r="K303" i="16" s="1"/>
  <c r="I93" i="13"/>
  <c r="I350" i="16" s="1"/>
  <c r="J79" i="13"/>
  <c r="J336" i="16" s="1"/>
  <c r="J64" i="13"/>
  <c r="J321" i="16" s="1"/>
  <c r="K76" i="13"/>
  <c r="K61" i="13"/>
  <c r="K378" i="15"/>
  <c r="K391" i="15" s="1"/>
  <c r="L391" i="15" s="1"/>
  <c r="K50" i="13"/>
  <c r="I110" i="16"/>
  <c r="I488" i="16"/>
  <c r="J488" i="16"/>
  <c r="K488" i="16"/>
  <c r="I200" i="16"/>
  <c r="I376" i="16" s="1"/>
  <c r="I76" i="16"/>
  <c r="I417" i="16" s="1"/>
  <c r="E544" i="15"/>
  <c r="G25" i="1"/>
  <c r="G23" i="1"/>
  <c r="C31" i="1"/>
  <c r="B31" i="1"/>
  <c r="H31" i="1"/>
  <c r="G27" i="1"/>
  <c r="G29" i="1"/>
  <c r="H27" i="1"/>
  <c r="D31" i="1"/>
  <c r="F31" i="1"/>
  <c r="I31" i="1"/>
  <c r="E31" i="1"/>
  <c r="G31" i="1"/>
  <c r="K31" i="1"/>
  <c r="J31" i="1"/>
  <c r="E545" i="15"/>
  <c r="L509" i="15"/>
  <c r="L513" i="15"/>
  <c r="J90" i="8"/>
  <c r="H403" i="16"/>
  <c r="H480" i="16"/>
  <c r="I477" i="15"/>
  <c r="J92" i="8"/>
  <c r="J96" i="8"/>
  <c r="J273" i="16"/>
  <c r="J72" i="16"/>
  <c r="J366" i="16" s="1"/>
  <c r="I360" i="16"/>
  <c r="I362" i="16"/>
  <c r="E156" i="15"/>
  <c r="J66" i="16"/>
  <c r="J360" i="16" s="1"/>
  <c r="J304" i="16"/>
  <c r="D340" i="15"/>
  <c r="C340" i="15"/>
  <c r="I347" i="16"/>
  <c r="E227" i="15"/>
  <c r="D267" i="16"/>
  <c r="D428" i="16" s="1"/>
  <c r="E296" i="16"/>
  <c r="E444" i="16" s="1"/>
  <c r="B402" i="16"/>
  <c r="F474" i="15"/>
  <c r="B411" i="16"/>
  <c r="I333" i="16"/>
  <c r="F142" i="15"/>
  <c r="F536" i="15"/>
  <c r="G149" i="16"/>
  <c r="G426" i="16" s="1"/>
  <c r="I56" i="15"/>
  <c r="I527" i="15"/>
  <c r="D411" i="16"/>
  <c r="H408" i="16"/>
  <c r="H485" i="16"/>
  <c r="I86" i="16"/>
  <c r="J361" i="16"/>
  <c r="H505" i="15"/>
  <c r="H124" i="16"/>
  <c r="F155" i="15"/>
  <c r="F32" i="7" s="1"/>
  <c r="F108" i="16"/>
  <c r="D355" i="15"/>
  <c r="D539" i="15"/>
  <c r="E355" i="15"/>
  <c r="E539" i="15"/>
  <c r="E340" i="15"/>
  <c r="E531" i="15"/>
  <c r="E488" i="15"/>
  <c r="E344" i="16"/>
  <c r="E402" i="16" s="1"/>
  <c r="E411" i="16"/>
  <c r="H105" i="16"/>
  <c r="H433" i="16" s="1"/>
  <c r="H389" i="16"/>
  <c r="E119" i="16"/>
  <c r="E441" i="16" s="1"/>
  <c r="D368" i="15"/>
  <c r="D35" i="7" s="1"/>
  <c r="D295" i="16"/>
  <c r="H85" i="15"/>
  <c r="H543" i="15"/>
  <c r="D402" i="16"/>
  <c r="H395" i="16"/>
  <c r="L235" i="16"/>
  <c r="C411" i="16"/>
  <c r="H374" i="16"/>
  <c r="H90" i="16"/>
  <c r="H425" i="16" s="1"/>
  <c r="L266" i="16"/>
  <c r="C267" i="16"/>
  <c r="C428" i="16" s="1"/>
  <c r="I101" i="16"/>
  <c r="H407" i="16"/>
  <c r="H484" i="16"/>
  <c r="F164" i="16"/>
  <c r="F434" i="16" s="1"/>
  <c r="F388" i="16"/>
  <c r="H380" i="16"/>
  <c r="J455" i="16"/>
  <c r="F282" i="16"/>
  <c r="F436" i="16" s="1"/>
  <c r="E178" i="16"/>
  <c r="E442" i="16" s="1"/>
  <c r="F411" i="16"/>
  <c r="H404" i="16"/>
  <c r="H481" i="16"/>
  <c r="F213" i="15"/>
  <c r="F537" i="15"/>
  <c r="F339" i="15"/>
  <c r="F531" i="15" s="1"/>
  <c r="F256" i="16"/>
  <c r="F450" i="16" s="1"/>
  <c r="F198" i="15"/>
  <c r="F529" i="15"/>
  <c r="L382" i="16"/>
  <c r="I52" i="16"/>
  <c r="J365" i="16"/>
  <c r="F226" i="15"/>
  <c r="F33" i="7" s="1"/>
  <c r="F167" i="16"/>
  <c r="F178" i="16" s="1"/>
  <c r="F442" i="16" s="1"/>
  <c r="C368" i="15"/>
  <c r="C35" i="7" s="1"/>
  <c r="C295" i="16"/>
  <c r="H486" i="16"/>
  <c r="G135" i="16"/>
  <c r="G418" i="16" s="1"/>
  <c r="G359" i="16"/>
  <c r="I95" i="16"/>
  <c r="I466" i="16" s="1"/>
  <c r="C355" i="15"/>
  <c r="C539" i="15"/>
  <c r="C402" i="16"/>
  <c r="H482" i="16"/>
  <c r="H405" i="16"/>
  <c r="I55" i="16"/>
  <c r="G85" i="15"/>
  <c r="G543" i="15"/>
  <c r="G153" i="16"/>
  <c r="I80" i="16"/>
  <c r="I451" i="16" s="1"/>
  <c r="G440" i="16"/>
  <c r="I222" i="15"/>
  <c r="I71" i="15"/>
  <c r="H447" i="15"/>
  <c r="J430" i="15"/>
  <c r="J275" i="15"/>
  <c r="J215" i="16" s="1"/>
  <c r="J260" i="15"/>
  <c r="J200" i="16" s="1"/>
  <c r="J76" i="15"/>
  <c r="J508" i="15"/>
  <c r="J417" i="15"/>
  <c r="J333" i="16" s="1"/>
  <c r="J146" i="15"/>
  <c r="J364" i="15"/>
  <c r="I216" i="15"/>
  <c r="J193" i="15"/>
  <c r="J208" i="15"/>
  <c r="J187" i="15"/>
  <c r="J202" i="15"/>
  <c r="K117" i="15"/>
  <c r="L117" i="15" s="1"/>
  <c r="K401" i="15"/>
  <c r="L401" i="15" s="1"/>
  <c r="K375" i="15"/>
  <c r="K388" i="15" s="1"/>
  <c r="K160" i="15"/>
  <c r="K173" i="15" s="1"/>
  <c r="K202" i="15" s="1"/>
  <c r="K233" i="15"/>
  <c r="K246" i="15" s="1"/>
  <c r="J402" i="15"/>
  <c r="J318" i="16" s="1"/>
  <c r="J220" i="15"/>
  <c r="I493" i="15"/>
  <c r="K192" i="15"/>
  <c r="K207" i="15"/>
  <c r="L249" i="15"/>
  <c r="K335" i="15"/>
  <c r="L335" i="15" s="1"/>
  <c r="K350" i="15"/>
  <c r="L321" i="15"/>
  <c r="J17" i="16"/>
  <c r="J416" i="16" s="1"/>
  <c r="J466" i="15"/>
  <c r="K46" i="15"/>
  <c r="K61" i="15"/>
  <c r="L36" i="16" s="1"/>
  <c r="L32" i="15"/>
  <c r="K135" i="15"/>
  <c r="L135" i="15" s="1"/>
  <c r="L106" i="15"/>
  <c r="L36" i="15"/>
  <c r="J217" i="15"/>
  <c r="J360" i="15"/>
  <c r="J359" i="15"/>
  <c r="J80" i="15"/>
  <c r="K51" i="15"/>
  <c r="L51" i="15" s="1"/>
  <c r="J75" i="15"/>
  <c r="J70" i="15"/>
  <c r="J535" i="15" s="1"/>
  <c r="J149" i="15"/>
  <c r="J465" i="15"/>
  <c r="K331" i="15"/>
  <c r="K166" i="15"/>
  <c r="K179" i="15" s="1"/>
  <c r="K64" i="15"/>
  <c r="K49" i="15"/>
  <c r="I289" i="15"/>
  <c r="I447" i="15" s="1"/>
  <c r="J512" i="15"/>
  <c r="H60" i="16"/>
  <c r="I31" i="16"/>
  <c r="I424" i="16" s="1"/>
  <c r="I449" i="15"/>
  <c r="J479" i="15"/>
  <c r="K47" i="15"/>
  <c r="K62" i="15"/>
  <c r="L178" i="15"/>
  <c r="K188" i="15"/>
  <c r="L188" i="15" s="1"/>
  <c r="K203" i="15"/>
  <c r="L174" i="15"/>
  <c r="L248" i="15"/>
  <c r="J480" i="15"/>
  <c r="J221" i="15"/>
  <c r="J363" i="15"/>
  <c r="I84" i="15"/>
  <c r="J291" i="15"/>
  <c r="J362" i="15"/>
  <c r="J292" i="15"/>
  <c r="J116" i="15"/>
  <c r="J461" i="15" s="1"/>
  <c r="J506" i="15"/>
  <c r="G197" i="15"/>
  <c r="H451" i="15"/>
  <c r="H495" i="15"/>
  <c r="H445" i="15"/>
  <c r="H489" i="15"/>
  <c r="H450" i="15"/>
  <c r="H494" i="15"/>
  <c r="E450" i="15"/>
  <c r="E494" i="15"/>
  <c r="C444" i="15"/>
  <c r="C488" i="15"/>
  <c r="C450" i="15"/>
  <c r="C494" i="15"/>
  <c r="G450" i="15"/>
  <c r="G494" i="15"/>
  <c r="I450" i="15"/>
  <c r="I494" i="15"/>
  <c r="D444" i="15"/>
  <c r="D488" i="15"/>
  <c r="D450" i="15"/>
  <c r="D494" i="15"/>
  <c r="B450" i="15"/>
  <c r="B494" i="15"/>
  <c r="B444" i="15"/>
  <c r="B488" i="15"/>
  <c r="F450" i="15"/>
  <c r="F494" i="15"/>
  <c r="G127" i="15"/>
  <c r="L453" i="15"/>
  <c r="E444" i="15"/>
  <c r="D410" i="15"/>
  <c r="D532" i="15" s="1"/>
  <c r="D396" i="15"/>
  <c r="D524" i="15" s="1"/>
  <c r="E410" i="15"/>
  <c r="E532" i="15" s="1"/>
  <c r="E396" i="15"/>
  <c r="E524" i="15" s="1"/>
  <c r="F410" i="15"/>
  <c r="F532" i="15" s="1"/>
  <c r="F396" i="15"/>
  <c r="F524" i="15" s="1"/>
  <c r="G410" i="15"/>
  <c r="H396" i="15"/>
  <c r="H524" i="15" s="1"/>
  <c r="L395" i="15"/>
  <c r="G428" i="15"/>
  <c r="G344" i="16" s="1"/>
  <c r="C410" i="15"/>
  <c r="C532" i="15" s="1"/>
  <c r="C396" i="15"/>
  <c r="C524" i="15" s="1"/>
  <c r="G328" i="15"/>
  <c r="G460" i="15" s="1"/>
  <c r="G343" i="15"/>
  <c r="G474" i="15" s="1"/>
  <c r="E368" i="15"/>
  <c r="E35" i="7" s="1"/>
  <c r="F357" i="15"/>
  <c r="F488" i="15" s="1"/>
  <c r="G325" i="15"/>
  <c r="G523" i="15" s="1"/>
  <c r="H343" i="15"/>
  <c r="H271" i="16" s="1"/>
  <c r="F354" i="15"/>
  <c r="I151" i="15"/>
  <c r="I115" i="16" s="1"/>
  <c r="J122" i="15"/>
  <c r="J467" i="15" s="1"/>
  <c r="J137" i="15"/>
  <c r="J481" i="15" s="1"/>
  <c r="I145" i="15"/>
  <c r="I109" i="16" s="1"/>
  <c r="K102" i="15"/>
  <c r="J131" i="15"/>
  <c r="J95" i="16" s="1"/>
  <c r="J466" i="16" s="1"/>
  <c r="H186" i="15"/>
  <c r="H138" i="16" s="1"/>
  <c r="H201" i="15"/>
  <c r="H183" i="15"/>
  <c r="H521" i="15" s="1"/>
  <c r="G215" i="15"/>
  <c r="G212" i="15"/>
  <c r="G144" i="15"/>
  <c r="G141" i="15"/>
  <c r="H126" i="15"/>
  <c r="H528" i="15" s="1"/>
  <c r="H112" i="15"/>
  <c r="H520" i="15" s="1"/>
  <c r="J92" i="10"/>
  <c r="J113" i="16" s="1"/>
  <c r="J78" i="8"/>
  <c r="J69" i="13"/>
  <c r="J8" i="8" s="1"/>
  <c r="J55" i="13"/>
  <c r="J80" i="8"/>
  <c r="J55" i="9"/>
  <c r="J55" i="12"/>
  <c r="J33" i="8"/>
  <c r="J92" i="11"/>
  <c r="J231" i="16" s="1"/>
  <c r="J55" i="6"/>
  <c r="J94" i="6"/>
  <c r="J174" i="16" s="1"/>
  <c r="I101" i="13"/>
  <c r="J92" i="9"/>
  <c r="J90" i="11"/>
  <c r="H68" i="8"/>
  <c r="H104" i="8" s="1"/>
  <c r="J93" i="6"/>
  <c r="J173" i="16" s="1"/>
  <c r="K185" i="16"/>
  <c r="J90" i="9"/>
  <c r="J76" i="8"/>
  <c r="J90" i="13"/>
  <c r="J75" i="8"/>
  <c r="J55" i="11"/>
  <c r="J44" i="8"/>
  <c r="I101" i="10"/>
  <c r="I172" i="15" s="1"/>
  <c r="I98" i="10"/>
  <c r="K125" i="16"/>
  <c r="L125" i="16" s="1"/>
  <c r="I58" i="8"/>
  <c r="I54" i="8"/>
  <c r="K8" i="16"/>
  <c r="J55" i="10"/>
  <c r="I101" i="11"/>
  <c r="I98" i="11"/>
  <c r="I84" i="8"/>
  <c r="J88" i="6"/>
  <c r="J168" i="16" s="1"/>
  <c r="J92" i="12"/>
  <c r="J290" i="16" s="1"/>
  <c r="I101" i="6"/>
  <c r="K244" i="16"/>
  <c r="J93" i="9"/>
  <c r="J89" i="13"/>
  <c r="J346" i="16" s="1"/>
  <c r="J84" i="13"/>
  <c r="J16" i="8" s="1"/>
  <c r="J79" i="8"/>
  <c r="I28" i="1" a="1"/>
  <c r="H25" i="1" a="1"/>
  <c r="H29" i="1" a="1"/>
  <c r="C22" i="1" a="1"/>
  <c r="D22" i="1" a="1"/>
  <c r="F28" i="1" a="1"/>
  <c r="E22" i="1" a="1"/>
  <c r="C28" i="1" a="1"/>
  <c r="F22" i="1" a="1"/>
  <c r="H23" i="1" a="1"/>
  <c r="I27" i="1" a="1"/>
  <c r="H28" i="1" a="1"/>
  <c r="G28" i="1" a="1"/>
  <c r="C12" i="1" a="1"/>
  <c r="C15" i="1" a="1"/>
  <c r="D28" i="1" a="1"/>
  <c r="E28" i="1" a="1"/>
  <c r="B22" i="1" a="1"/>
  <c r="K92" i="8" a="1"/>
  <c r="J94" i="8" a="1"/>
  <c r="K96" i="8" a="1"/>
  <c r="K90" i="8" a="1"/>
  <c r="J95" i="8" a="1"/>
  <c r="J91" i="8" a="1"/>
  <c r="J46" i="8" l="1"/>
  <c r="I62" i="8"/>
  <c r="J94" i="10"/>
  <c r="J84" i="10"/>
  <c r="J12" i="8" s="1"/>
  <c r="I59" i="8"/>
  <c r="H25" i="1"/>
  <c r="J50" i="8"/>
  <c r="I395" i="16"/>
  <c r="J55" i="15"/>
  <c r="J362" i="16"/>
  <c r="J84" i="11"/>
  <c r="J14" i="8" s="1"/>
  <c r="J89" i="9"/>
  <c r="J69" i="6"/>
  <c r="J5" i="8" s="1"/>
  <c r="I64" i="8"/>
  <c r="I23" i="8"/>
  <c r="I20" i="8"/>
  <c r="L103" i="15"/>
  <c r="J93" i="12"/>
  <c r="J291" i="16" s="1"/>
  <c r="I98" i="6"/>
  <c r="J78" i="15"/>
  <c r="K66" i="15"/>
  <c r="K70" i="15" s="1"/>
  <c r="K535" i="15" s="1"/>
  <c r="L535" i="15" s="1"/>
  <c r="L319" i="15"/>
  <c r="J94" i="9"/>
  <c r="J56" i="16" s="1"/>
  <c r="J92" i="6"/>
  <c r="J172" i="16" s="1"/>
  <c r="K191" i="15"/>
  <c r="L191" i="15" s="1"/>
  <c r="K348" i="15"/>
  <c r="J375" i="16"/>
  <c r="I101" i="12"/>
  <c r="J93" i="10"/>
  <c r="J114" i="16" s="1"/>
  <c r="K420" i="15"/>
  <c r="J94" i="12"/>
  <c r="J292" i="16" s="1"/>
  <c r="K405" i="15"/>
  <c r="L405" i="15" s="1"/>
  <c r="J88" i="10"/>
  <c r="I491" i="15"/>
  <c r="J89" i="11"/>
  <c r="J228" i="16" s="1"/>
  <c r="J69" i="10"/>
  <c r="J4" i="8" s="1"/>
  <c r="K334" i="15"/>
  <c r="L334" i="15" s="1"/>
  <c r="L107" i="15"/>
  <c r="I60" i="8"/>
  <c r="J89" i="10"/>
  <c r="J110" i="16" s="1"/>
  <c r="K345" i="15"/>
  <c r="L345" i="15" s="1"/>
  <c r="K121" i="15"/>
  <c r="L121" i="15" s="1"/>
  <c r="I98" i="12"/>
  <c r="I98" i="9"/>
  <c r="I98" i="13"/>
  <c r="I21" i="8"/>
  <c r="I19" i="8"/>
  <c r="I31" i="7" s="1"/>
  <c r="J453" i="16"/>
  <c r="J35" i="8"/>
  <c r="J69" i="9"/>
  <c r="J3" i="8" s="1"/>
  <c r="J90" i="12"/>
  <c r="J288" i="16" s="1"/>
  <c r="J84" i="12"/>
  <c r="J15" i="8" s="1"/>
  <c r="J278" i="16"/>
  <c r="J84" i="6"/>
  <c r="J13" i="8" s="1"/>
  <c r="J21" i="8" s="1"/>
  <c r="J31" i="8"/>
  <c r="J60" i="8" s="1"/>
  <c r="J89" i="6"/>
  <c r="J169" i="16" s="1"/>
  <c r="I393" i="16"/>
  <c r="J378" i="16"/>
  <c r="I100" i="8"/>
  <c r="I101" i="9"/>
  <c r="K41" i="15"/>
  <c r="L41" i="15" s="1"/>
  <c r="K78" i="9"/>
  <c r="K40" i="16" s="1"/>
  <c r="K63" i="9"/>
  <c r="K25" i="16" s="1"/>
  <c r="L25" i="16" s="1"/>
  <c r="K60" i="9"/>
  <c r="K22" i="16" s="1"/>
  <c r="K75" i="9"/>
  <c r="K37" i="16" s="1"/>
  <c r="L37" i="16" s="1"/>
  <c r="K65" i="9"/>
  <c r="K27" i="16" s="1"/>
  <c r="L27" i="16" s="1"/>
  <c r="K80" i="9"/>
  <c r="K42" i="16" s="1"/>
  <c r="J84" i="9"/>
  <c r="J11" i="8" s="1"/>
  <c r="K50" i="15"/>
  <c r="L50" i="15" s="1"/>
  <c r="K61" i="9"/>
  <c r="K23" i="16" s="1"/>
  <c r="K76" i="9"/>
  <c r="J45" i="8"/>
  <c r="K64" i="9"/>
  <c r="K26" i="16" s="1"/>
  <c r="L26" i="16" s="1"/>
  <c r="K79" i="9"/>
  <c r="K41" i="16" s="1"/>
  <c r="L41" i="16" s="1"/>
  <c r="K75" i="10"/>
  <c r="K96" i="16" s="1"/>
  <c r="L96" i="16" s="1"/>
  <c r="K60" i="10"/>
  <c r="K65" i="10"/>
  <c r="K80" i="10"/>
  <c r="L80" i="10" s="1"/>
  <c r="J48" i="8"/>
  <c r="J62" i="8" s="1"/>
  <c r="I63" i="8"/>
  <c r="K59" i="10"/>
  <c r="K74" i="10"/>
  <c r="K44" i="8" s="1"/>
  <c r="K79" i="10"/>
  <c r="K100" i="16" s="1"/>
  <c r="L100" i="16" s="1"/>
  <c r="K64" i="10"/>
  <c r="L64" i="10" s="1"/>
  <c r="K78" i="10"/>
  <c r="K99" i="16" s="1"/>
  <c r="L99" i="16" s="1"/>
  <c r="K63" i="10"/>
  <c r="K84" i="16" s="1"/>
  <c r="L84" i="16" s="1"/>
  <c r="K510" i="15"/>
  <c r="K64" i="6"/>
  <c r="L64" i="6" s="1"/>
  <c r="K79" i="6"/>
  <c r="K159" i="16" s="1"/>
  <c r="L159" i="16" s="1"/>
  <c r="K75" i="6"/>
  <c r="K155" i="16" s="1"/>
  <c r="L155" i="16" s="1"/>
  <c r="K60" i="6"/>
  <c r="L60" i="6" s="1"/>
  <c r="L177" i="15"/>
  <c r="K63" i="6"/>
  <c r="L63" i="6" s="1"/>
  <c r="K78" i="6"/>
  <c r="K158" i="16" s="1"/>
  <c r="L158" i="16" s="1"/>
  <c r="J91" i="8"/>
  <c r="J95" i="8"/>
  <c r="J94" i="8"/>
  <c r="K277" i="15"/>
  <c r="J69" i="11"/>
  <c r="J6" i="8" s="1"/>
  <c r="I471" i="16"/>
  <c r="J214" i="16"/>
  <c r="J390" i="16" s="1"/>
  <c r="I39" i="8"/>
  <c r="J468" i="16"/>
  <c r="I453" i="16"/>
  <c r="K63" i="11"/>
  <c r="L63" i="11" s="1"/>
  <c r="K78" i="11"/>
  <c r="K79" i="11"/>
  <c r="K64" i="11"/>
  <c r="K203" i="16" s="1"/>
  <c r="L203" i="16" s="1"/>
  <c r="K75" i="11"/>
  <c r="K60" i="11"/>
  <c r="K199" i="16" s="1"/>
  <c r="L199" i="16" s="1"/>
  <c r="K278" i="15"/>
  <c r="K292" i="15" s="1"/>
  <c r="J218" i="16"/>
  <c r="J471" i="16" s="1"/>
  <c r="K511" i="15"/>
  <c r="J217" i="16"/>
  <c r="J470" i="16" s="1"/>
  <c r="J93" i="11"/>
  <c r="J232" i="16" s="1"/>
  <c r="I390" i="16"/>
  <c r="J34" i="8"/>
  <c r="L320" i="15"/>
  <c r="J379" i="16"/>
  <c r="L316" i="15"/>
  <c r="K60" i="12"/>
  <c r="K258" i="16" s="1"/>
  <c r="L258" i="16" s="1"/>
  <c r="K75" i="12"/>
  <c r="K64" i="12"/>
  <c r="K262" i="16" s="1"/>
  <c r="L262" i="16" s="1"/>
  <c r="K79" i="12"/>
  <c r="K277" i="16" s="1"/>
  <c r="L277" i="16" s="1"/>
  <c r="K63" i="12"/>
  <c r="K78" i="12"/>
  <c r="K276" i="16" s="1"/>
  <c r="L276" i="16" s="1"/>
  <c r="J89" i="12"/>
  <c r="J287" i="16" s="1"/>
  <c r="K65" i="12"/>
  <c r="L65" i="12" s="1"/>
  <c r="K80" i="12"/>
  <c r="J30" i="8"/>
  <c r="J69" i="12"/>
  <c r="J7" i="8" s="1"/>
  <c r="J23" i="8" s="1"/>
  <c r="K76" i="12"/>
  <c r="K274" i="16" s="1"/>
  <c r="K61" i="12"/>
  <c r="L61" i="12" s="1"/>
  <c r="J93" i="13"/>
  <c r="J350" i="16" s="1"/>
  <c r="K75" i="13"/>
  <c r="K332" i="16" s="1"/>
  <c r="K60" i="13"/>
  <c r="K317" i="16" s="1"/>
  <c r="K79" i="13"/>
  <c r="K336" i="16" s="1"/>
  <c r="L336" i="16" s="1"/>
  <c r="K64" i="13"/>
  <c r="L64" i="13" s="1"/>
  <c r="L387" i="15"/>
  <c r="J49" i="8"/>
  <c r="K66" i="16"/>
  <c r="L66" i="16" s="1"/>
  <c r="J477" i="15"/>
  <c r="I229" i="16"/>
  <c r="I405" i="16" s="1"/>
  <c r="C15" i="1"/>
  <c r="C547" i="15"/>
  <c r="D547" i="15"/>
  <c r="F544" i="15"/>
  <c r="E547" i="15"/>
  <c r="I28" i="1"/>
  <c r="C12" i="1"/>
  <c r="E28" i="1"/>
  <c r="E22" i="1"/>
  <c r="F22" i="1"/>
  <c r="G28" i="1"/>
  <c r="D28" i="1"/>
  <c r="H28" i="1"/>
  <c r="C28" i="1"/>
  <c r="F28" i="1"/>
  <c r="D22" i="1"/>
  <c r="H23" i="1"/>
  <c r="I27" i="1"/>
  <c r="B22" i="1"/>
  <c r="C22" i="1"/>
  <c r="H29" i="1"/>
  <c r="F545" i="15"/>
  <c r="K90" i="8"/>
  <c r="L90" i="8" s="1"/>
  <c r="I380" i="16"/>
  <c r="I457" i="16"/>
  <c r="I472" i="16"/>
  <c r="I403" i="16"/>
  <c r="I480" i="16"/>
  <c r="I341" i="16"/>
  <c r="I468" i="16"/>
  <c r="J463" i="15"/>
  <c r="E479" i="16"/>
  <c r="K96" i="8"/>
  <c r="L96" i="8" s="1"/>
  <c r="K92" i="8"/>
  <c r="L92" i="8" s="1"/>
  <c r="F227" i="15"/>
  <c r="F340" i="15"/>
  <c r="F156" i="15"/>
  <c r="D369" i="15"/>
  <c r="J312" i="16"/>
  <c r="J421" i="16" s="1"/>
  <c r="J76" i="16"/>
  <c r="J417" i="16" s="1"/>
  <c r="I391" i="16"/>
  <c r="K465" i="15"/>
  <c r="J494" i="15"/>
  <c r="H282" i="16"/>
  <c r="H436" i="16" s="1"/>
  <c r="H465" i="16"/>
  <c r="D296" i="16"/>
  <c r="D444" i="16" s="1"/>
  <c r="C369" i="15"/>
  <c r="J389" i="16"/>
  <c r="J376" i="16"/>
  <c r="J326" i="16"/>
  <c r="J429" i="16" s="1"/>
  <c r="J391" i="16"/>
  <c r="J341" i="16"/>
  <c r="L50" i="13"/>
  <c r="K307" i="16"/>
  <c r="L307" i="16" s="1"/>
  <c r="L51" i="12"/>
  <c r="K249" i="16"/>
  <c r="L249" i="16" s="1"/>
  <c r="L46" i="10"/>
  <c r="K67" i="16"/>
  <c r="L67" i="16" s="1"/>
  <c r="J52" i="16"/>
  <c r="L49" i="12"/>
  <c r="K247" i="16"/>
  <c r="L247" i="16" s="1"/>
  <c r="L50" i="6"/>
  <c r="K130" i="16"/>
  <c r="L130" i="16" s="1"/>
  <c r="L47" i="13"/>
  <c r="K304" i="16"/>
  <c r="L304" i="16" s="1"/>
  <c r="L49" i="6"/>
  <c r="K129" i="16"/>
  <c r="L129" i="16" s="1"/>
  <c r="L303" i="16"/>
  <c r="H474" i="15"/>
  <c r="H153" i="16"/>
  <c r="J101" i="16"/>
  <c r="L61" i="11"/>
  <c r="L50" i="11"/>
  <c r="K189" i="16"/>
  <c r="L189" i="16" s="1"/>
  <c r="L50" i="12"/>
  <c r="K248" i="16"/>
  <c r="L248" i="16" s="1"/>
  <c r="H149" i="16"/>
  <c r="H426" i="16" s="1"/>
  <c r="F355" i="15"/>
  <c r="F539" i="15"/>
  <c r="I85" i="15"/>
  <c r="I543" i="15"/>
  <c r="J56" i="15"/>
  <c r="J527" i="15"/>
  <c r="I485" i="16"/>
  <c r="I408" i="16"/>
  <c r="I481" i="16"/>
  <c r="I404" i="16"/>
  <c r="L185" i="16"/>
  <c r="J54" i="16"/>
  <c r="G198" i="15"/>
  <c r="G529" i="15"/>
  <c r="I90" i="16"/>
  <c r="I425" i="16" s="1"/>
  <c r="I374" i="16"/>
  <c r="I486" i="16"/>
  <c r="I409" i="16"/>
  <c r="L411" i="16"/>
  <c r="F119" i="16"/>
  <c r="F441" i="16" s="1"/>
  <c r="L47" i="12"/>
  <c r="K245" i="16"/>
  <c r="L245" i="16" s="1"/>
  <c r="L47" i="11"/>
  <c r="K186" i="16"/>
  <c r="K12" i="16"/>
  <c r="L49" i="10"/>
  <c r="K70" i="16"/>
  <c r="L70" i="16" s="1"/>
  <c r="L49" i="11"/>
  <c r="K188" i="16"/>
  <c r="L188" i="16" s="1"/>
  <c r="K85" i="16"/>
  <c r="L85" i="16" s="1"/>
  <c r="G142" i="15"/>
  <c r="G536" i="15"/>
  <c r="F267" i="16"/>
  <c r="F428" i="16" s="1"/>
  <c r="F373" i="16"/>
  <c r="L63" i="10"/>
  <c r="L51" i="6"/>
  <c r="K131" i="16"/>
  <c r="L131" i="16" s="1"/>
  <c r="J55" i="16"/>
  <c r="K13" i="16"/>
  <c r="L13" i="16" s="1"/>
  <c r="L65" i="10"/>
  <c r="J51" i="16"/>
  <c r="L46" i="6"/>
  <c r="K126" i="16"/>
  <c r="L126" i="16" s="1"/>
  <c r="G155" i="15"/>
  <c r="G32" i="7" s="1"/>
  <c r="G108" i="16"/>
  <c r="F368" i="15"/>
  <c r="F35" i="7" s="1"/>
  <c r="F285" i="16"/>
  <c r="F479" i="16" s="1"/>
  <c r="I407" i="16"/>
  <c r="I484" i="16"/>
  <c r="H135" i="16"/>
  <c r="H418" i="16" s="1"/>
  <c r="H359" i="16"/>
  <c r="J80" i="16"/>
  <c r="J451" i="16" s="1"/>
  <c r="I505" i="15"/>
  <c r="I124" i="16"/>
  <c r="L50" i="10"/>
  <c r="K71" i="16"/>
  <c r="L71" i="16" s="1"/>
  <c r="L51" i="10"/>
  <c r="K72" i="16"/>
  <c r="L72" i="16" s="1"/>
  <c r="G213" i="15"/>
  <c r="G537" i="15"/>
  <c r="G411" i="15"/>
  <c r="G532" i="15"/>
  <c r="G164" i="16"/>
  <c r="G434" i="16" s="1"/>
  <c r="J86" i="16"/>
  <c r="K9" i="16"/>
  <c r="L65" i="6"/>
  <c r="K145" i="16"/>
  <c r="L145" i="16" s="1"/>
  <c r="K11" i="16"/>
  <c r="K263" i="16"/>
  <c r="L263" i="16" s="1"/>
  <c r="L317" i="16"/>
  <c r="G226" i="15"/>
  <c r="G33" i="7" s="1"/>
  <c r="G167" i="16"/>
  <c r="G354" i="15"/>
  <c r="G539" i="15" s="1"/>
  <c r="G271" i="16"/>
  <c r="I105" i="16"/>
  <c r="I433" i="16" s="1"/>
  <c r="I389" i="16"/>
  <c r="L295" i="16"/>
  <c r="C296" i="16"/>
  <c r="C444" i="16" s="1"/>
  <c r="L244" i="16"/>
  <c r="L60" i="10"/>
  <c r="K81" i="16"/>
  <c r="L81" i="16" s="1"/>
  <c r="L61" i="13"/>
  <c r="L332" i="16"/>
  <c r="G339" i="15"/>
  <c r="G531" i="15" s="1"/>
  <c r="G256" i="16"/>
  <c r="G450" i="16" s="1"/>
  <c r="H440" i="16"/>
  <c r="J71" i="15"/>
  <c r="J46" i="16"/>
  <c r="J432" i="16" s="1"/>
  <c r="L64" i="15"/>
  <c r="L39" i="16"/>
  <c r="J431" i="15"/>
  <c r="J347" i="16" s="1"/>
  <c r="J222" i="15"/>
  <c r="J289" i="15"/>
  <c r="J229" i="16" s="1"/>
  <c r="J216" i="15"/>
  <c r="K76" i="15"/>
  <c r="K506" i="15"/>
  <c r="L173" i="15"/>
  <c r="K187" i="15"/>
  <c r="L187" i="15" s="1"/>
  <c r="J450" i="15"/>
  <c r="J449" i="15"/>
  <c r="K402" i="15"/>
  <c r="K318" i="16" s="1"/>
  <c r="L318" i="16" s="1"/>
  <c r="K417" i="15"/>
  <c r="K333" i="16" s="1"/>
  <c r="K508" i="15"/>
  <c r="K260" i="15"/>
  <c r="K463" i="15" s="1"/>
  <c r="K275" i="15"/>
  <c r="K477" i="15" s="1"/>
  <c r="K193" i="15"/>
  <c r="L193" i="15" s="1"/>
  <c r="K208" i="15"/>
  <c r="L208" i="15" s="1"/>
  <c r="L179" i="15"/>
  <c r="L42" i="16"/>
  <c r="K221" i="15"/>
  <c r="L207" i="15"/>
  <c r="K434" i="15"/>
  <c r="L62" i="15"/>
  <c r="L49" i="15"/>
  <c r="K359" i="15"/>
  <c r="K466" i="15"/>
  <c r="K430" i="15"/>
  <c r="L416" i="15"/>
  <c r="L23" i="16"/>
  <c r="L47" i="15"/>
  <c r="K75" i="15"/>
  <c r="L61" i="15"/>
  <c r="K364" i="15"/>
  <c r="L350" i="15"/>
  <c r="K150" i="15"/>
  <c r="L136" i="15"/>
  <c r="K512" i="15"/>
  <c r="K291" i="15"/>
  <c r="L277" i="15"/>
  <c r="K217" i="15"/>
  <c r="L203" i="15"/>
  <c r="J31" i="16"/>
  <c r="J424" i="16" s="1"/>
  <c r="L40" i="16"/>
  <c r="K78" i="15"/>
  <c r="K479" i="15"/>
  <c r="L46" i="15"/>
  <c r="K146" i="15"/>
  <c r="L132" i="15"/>
  <c r="L8" i="16"/>
  <c r="I60" i="16"/>
  <c r="L65" i="15"/>
  <c r="K363" i="15"/>
  <c r="L420" i="15"/>
  <c r="J493" i="15"/>
  <c r="J84" i="15"/>
  <c r="L192" i="15"/>
  <c r="K362" i="15"/>
  <c r="L348" i="15"/>
  <c r="K220" i="15"/>
  <c r="L206" i="15"/>
  <c r="K360" i="15"/>
  <c r="K149" i="15"/>
  <c r="H197" i="15"/>
  <c r="J145" i="15"/>
  <c r="J489" i="15" s="1"/>
  <c r="J475" i="15"/>
  <c r="I451" i="15"/>
  <c r="I495" i="15"/>
  <c r="I445" i="15"/>
  <c r="I489" i="15"/>
  <c r="C411" i="15"/>
  <c r="E411" i="15"/>
  <c r="D411" i="15"/>
  <c r="F411" i="15"/>
  <c r="E369" i="15"/>
  <c r="H127" i="15"/>
  <c r="F444" i="15"/>
  <c r="G438" i="15"/>
  <c r="G354" i="16" s="1"/>
  <c r="H428" i="15"/>
  <c r="H344" i="16" s="1"/>
  <c r="H425" i="15"/>
  <c r="E438" i="15"/>
  <c r="E354" i="16" s="1"/>
  <c r="E425" i="15"/>
  <c r="E540" i="15" s="1"/>
  <c r="J438" i="15"/>
  <c r="J354" i="16" s="1"/>
  <c r="H410" i="15"/>
  <c r="F438" i="15"/>
  <c r="F354" i="16" s="1"/>
  <c r="F425" i="15"/>
  <c r="F540" i="15" s="1"/>
  <c r="G425" i="15"/>
  <c r="G540" i="15" s="1"/>
  <c r="H438" i="15"/>
  <c r="H354" i="16" s="1"/>
  <c r="D438" i="15"/>
  <c r="D354" i="16" s="1"/>
  <c r="D355" i="16" s="1"/>
  <c r="D425" i="15"/>
  <c r="D540" i="15" s="1"/>
  <c r="I410" i="15"/>
  <c r="I532" i="15" s="1"/>
  <c r="I396" i="15"/>
  <c r="I524" i="15" s="1"/>
  <c r="B438" i="15"/>
  <c r="B354" i="16" s="1"/>
  <c r="L424" i="15"/>
  <c r="I438" i="15"/>
  <c r="I354" i="16" s="1"/>
  <c r="K438" i="15"/>
  <c r="K354" i="16" s="1"/>
  <c r="C438" i="15"/>
  <c r="C354" i="16" s="1"/>
  <c r="C425" i="15"/>
  <c r="C540" i="15" s="1"/>
  <c r="L409" i="15"/>
  <c r="H328" i="15"/>
  <c r="H460" i="15" s="1"/>
  <c r="G357" i="15"/>
  <c r="G488" i="15" s="1"/>
  <c r="H325" i="15"/>
  <c r="H523" i="15" s="1"/>
  <c r="H354" i="15"/>
  <c r="H539" i="15" s="1"/>
  <c r="J151" i="15"/>
  <c r="J115" i="16" s="1"/>
  <c r="K137" i="15"/>
  <c r="K122" i="15"/>
  <c r="L108" i="15"/>
  <c r="L202" i="15"/>
  <c r="K116" i="15"/>
  <c r="K80" i="16" s="1"/>
  <c r="K451" i="16" s="1"/>
  <c r="K131" i="15"/>
  <c r="L102" i="15"/>
  <c r="I186" i="15"/>
  <c r="I138" i="16" s="1"/>
  <c r="I201" i="15"/>
  <c r="I183" i="15"/>
  <c r="I521" i="15" s="1"/>
  <c r="H215" i="15"/>
  <c r="H212" i="15"/>
  <c r="I126" i="15"/>
  <c r="I528" i="15" s="1"/>
  <c r="I112" i="15"/>
  <c r="I520" i="15" s="1"/>
  <c r="H144" i="15"/>
  <c r="H141" i="15"/>
  <c r="J20" i="8"/>
  <c r="J24" i="8"/>
  <c r="J101" i="9"/>
  <c r="L46" i="12"/>
  <c r="K55" i="12"/>
  <c r="J101" i="10"/>
  <c r="J172" i="15" s="1"/>
  <c r="K90" i="13"/>
  <c r="L76" i="13"/>
  <c r="L60" i="13"/>
  <c r="K69" i="13"/>
  <c r="K90" i="11"/>
  <c r="L76" i="11"/>
  <c r="J58" i="8"/>
  <c r="L78" i="12"/>
  <c r="K89" i="13"/>
  <c r="K346" i="16" s="1"/>
  <c r="L346" i="16" s="1"/>
  <c r="L75" i="13"/>
  <c r="L45" i="6"/>
  <c r="K55" i="6"/>
  <c r="L60" i="11"/>
  <c r="L46" i="13"/>
  <c r="K55" i="13"/>
  <c r="L46" i="11"/>
  <c r="K55" i="11"/>
  <c r="K79" i="8"/>
  <c r="L79" i="8" s="1"/>
  <c r="L50" i="9"/>
  <c r="K88" i="6"/>
  <c r="K168" i="16" s="1"/>
  <c r="L168" i="16" s="1"/>
  <c r="L74" i="6"/>
  <c r="L59" i="10"/>
  <c r="K29" i="8"/>
  <c r="L78" i="9"/>
  <c r="K89" i="10"/>
  <c r="L75" i="10"/>
  <c r="K76" i="8"/>
  <c r="L76" i="8" s="1"/>
  <c r="L47" i="9"/>
  <c r="L59" i="6"/>
  <c r="L79" i="11"/>
  <c r="K78" i="8"/>
  <c r="L78" i="8" s="1"/>
  <c r="L49" i="9"/>
  <c r="K80" i="8"/>
  <c r="L80" i="8" s="1"/>
  <c r="L51" i="9"/>
  <c r="L45" i="10"/>
  <c r="K55" i="10"/>
  <c r="L60" i="12"/>
  <c r="J98" i="11"/>
  <c r="J101" i="11"/>
  <c r="J84" i="8"/>
  <c r="L79" i="6"/>
  <c r="K93" i="10"/>
  <c r="L79" i="10"/>
  <c r="K89" i="6"/>
  <c r="L80" i="12"/>
  <c r="K94" i="6"/>
  <c r="L80" i="6"/>
  <c r="K75" i="8"/>
  <c r="K55" i="9"/>
  <c r="L46" i="9"/>
  <c r="I23" i="1" a="1"/>
  <c r="G22" i="1" a="1"/>
  <c r="J27" i="1" a="1"/>
  <c r="I25" i="1" a="1"/>
  <c r="J23" i="1" a="1"/>
  <c r="C6" i="1" a="1"/>
  <c r="B28" i="1" a="1"/>
  <c r="J28" i="1" a="1"/>
  <c r="I29" i="1" a="1"/>
  <c r="K94" i="8" a="1"/>
  <c r="K95" i="8" a="1"/>
  <c r="K91" i="8" a="1"/>
  <c r="L64" i="12" l="1"/>
  <c r="K140" i="16"/>
  <c r="L140" i="16" s="1"/>
  <c r="J64" i="8"/>
  <c r="C6" i="1"/>
  <c r="I25" i="1"/>
  <c r="K101" i="16"/>
  <c r="L101" i="16" s="1"/>
  <c r="J22" i="8"/>
  <c r="L65" i="9"/>
  <c r="L80" i="9"/>
  <c r="J19" i="8"/>
  <c r="J98" i="9"/>
  <c r="K202" i="16"/>
  <c r="L202" i="16" s="1"/>
  <c r="L63" i="9"/>
  <c r="K92" i="9"/>
  <c r="K480" i="15"/>
  <c r="K89" i="12"/>
  <c r="K287" i="16" s="1"/>
  <c r="L287" i="16" s="1"/>
  <c r="K92" i="11"/>
  <c r="J31" i="7"/>
  <c r="L278" i="15"/>
  <c r="L74" i="10"/>
  <c r="K93" i="13"/>
  <c r="K101" i="13" s="1"/>
  <c r="K94" i="9"/>
  <c r="K56" i="16" s="1"/>
  <c r="L56" i="16" s="1"/>
  <c r="K88" i="10"/>
  <c r="L79" i="13"/>
  <c r="L78" i="11"/>
  <c r="K84" i="13"/>
  <c r="K16" i="8" s="1"/>
  <c r="L16" i="8" s="1"/>
  <c r="K273" i="16"/>
  <c r="L273" i="16" s="1"/>
  <c r="L75" i="12"/>
  <c r="L79" i="9"/>
  <c r="K49" i="8"/>
  <c r="L49" i="8" s="1"/>
  <c r="K92" i="12"/>
  <c r="K89" i="11"/>
  <c r="K228" i="16" s="1"/>
  <c r="L228" i="16" s="1"/>
  <c r="K69" i="10"/>
  <c r="B104" i="10" s="1"/>
  <c r="B175" i="15" s="1"/>
  <c r="B127" i="16" s="1"/>
  <c r="L75" i="6"/>
  <c r="J101" i="12"/>
  <c r="L66" i="15"/>
  <c r="K80" i="15"/>
  <c r="J101" i="13"/>
  <c r="K69" i="6"/>
  <c r="J98" i="13"/>
  <c r="J98" i="10"/>
  <c r="K35" i="8"/>
  <c r="J467" i="16"/>
  <c r="J98" i="12"/>
  <c r="K94" i="10"/>
  <c r="K92" i="6"/>
  <c r="K84" i="10"/>
  <c r="K12" i="8" s="1"/>
  <c r="L12" i="8" s="1"/>
  <c r="K94" i="12"/>
  <c r="L94" i="12" s="1"/>
  <c r="K143" i="16"/>
  <c r="L143" i="16" s="1"/>
  <c r="L75" i="11"/>
  <c r="K84" i="11"/>
  <c r="B102" i="11" s="1"/>
  <c r="K92" i="10"/>
  <c r="J395" i="16"/>
  <c r="I68" i="8"/>
  <c r="I104" i="8" s="1"/>
  <c r="J59" i="8"/>
  <c r="L79" i="12"/>
  <c r="L78" i="10"/>
  <c r="K86" i="16"/>
  <c r="K90" i="16" s="1"/>
  <c r="K425" i="16" s="1"/>
  <c r="K55" i="15"/>
  <c r="K527" i="15" s="1"/>
  <c r="L527" i="15" s="1"/>
  <c r="K519" i="15"/>
  <c r="L519" i="15" s="1"/>
  <c r="K79" i="15"/>
  <c r="K84" i="9"/>
  <c r="K11" i="8" s="1"/>
  <c r="L11" i="8" s="1"/>
  <c r="L61" i="9"/>
  <c r="J39" i="8"/>
  <c r="K90" i="9"/>
  <c r="K52" i="16" s="1"/>
  <c r="L52" i="16" s="1"/>
  <c r="L76" i="9"/>
  <c r="K38" i="16"/>
  <c r="L38" i="16" s="1"/>
  <c r="K31" i="8"/>
  <c r="L31" i="8" s="1"/>
  <c r="K259" i="16"/>
  <c r="K261" i="16"/>
  <c r="L261" i="16" s="1"/>
  <c r="L63" i="12"/>
  <c r="K46" i="8"/>
  <c r="L46" i="8" s="1"/>
  <c r="K93" i="6"/>
  <c r="K173" i="16" s="1"/>
  <c r="L173" i="16" s="1"/>
  <c r="J393" i="16"/>
  <c r="L76" i="12"/>
  <c r="K90" i="12"/>
  <c r="K288" i="16" s="1"/>
  <c r="K144" i="16"/>
  <c r="L144" i="16" s="1"/>
  <c r="L60" i="9"/>
  <c r="J101" i="6"/>
  <c r="J98" i="6"/>
  <c r="J100" i="8"/>
  <c r="K50" i="8"/>
  <c r="L50" i="8" s="1"/>
  <c r="L64" i="9"/>
  <c r="K69" i="9"/>
  <c r="K3" i="8" s="1"/>
  <c r="L3" i="8" s="1"/>
  <c r="L75" i="9"/>
  <c r="K93" i="9"/>
  <c r="K55" i="16" s="1"/>
  <c r="L55" i="16" s="1"/>
  <c r="K89" i="9"/>
  <c r="K51" i="16" s="1"/>
  <c r="K45" i="8"/>
  <c r="K34" i="8"/>
  <c r="L34" i="8" s="1"/>
  <c r="K33" i="8"/>
  <c r="L33" i="8" s="1"/>
  <c r="K95" i="16"/>
  <c r="K466" i="16" s="1"/>
  <c r="J54" i="8"/>
  <c r="L78" i="6"/>
  <c r="K48" i="8"/>
  <c r="L48" i="8" s="1"/>
  <c r="K84" i="6"/>
  <c r="K13" i="8" s="1"/>
  <c r="L13" i="8" s="1"/>
  <c r="K91" i="8"/>
  <c r="K95" i="8"/>
  <c r="L95" i="8" s="1"/>
  <c r="K94" i="8"/>
  <c r="L94" i="8" s="1"/>
  <c r="K93" i="11"/>
  <c r="K232" i="16" s="1"/>
  <c r="L232" i="16" s="1"/>
  <c r="L64" i="11"/>
  <c r="K214" i="16"/>
  <c r="L214" i="16" s="1"/>
  <c r="K218" i="16"/>
  <c r="L218" i="16" s="1"/>
  <c r="K217" i="16"/>
  <c r="L217" i="16" s="1"/>
  <c r="I482" i="16"/>
  <c r="K69" i="11"/>
  <c r="K6" i="8" s="1"/>
  <c r="L6" i="8" s="1"/>
  <c r="J394" i="16"/>
  <c r="K84" i="12"/>
  <c r="K15" i="8" s="1"/>
  <c r="L15" i="8" s="1"/>
  <c r="K278" i="16"/>
  <c r="L278" i="16" s="1"/>
  <c r="K93" i="12"/>
  <c r="K291" i="16" s="1"/>
  <c r="L291" i="16" s="1"/>
  <c r="K30" i="8"/>
  <c r="L30" i="8" s="1"/>
  <c r="K69" i="12"/>
  <c r="K7" i="8" s="1"/>
  <c r="L7" i="8" s="1"/>
  <c r="J63" i="8"/>
  <c r="K321" i="16"/>
  <c r="L321" i="16" s="1"/>
  <c r="B28" i="1"/>
  <c r="K360" i="16"/>
  <c r="L360" i="16" s="1"/>
  <c r="K200" i="16"/>
  <c r="K215" i="16"/>
  <c r="F547" i="15"/>
  <c r="G544" i="15"/>
  <c r="K452" i="16"/>
  <c r="J23" i="1"/>
  <c r="I23" i="1"/>
  <c r="J28" i="1"/>
  <c r="J27" i="1"/>
  <c r="I29" i="1"/>
  <c r="G22" i="1"/>
  <c r="G545" i="15"/>
  <c r="J472" i="16"/>
  <c r="J380" i="16"/>
  <c r="J457" i="16"/>
  <c r="E355" i="16"/>
  <c r="E437" i="16" s="1"/>
  <c r="G355" i="16"/>
  <c r="G437" i="16" s="1"/>
  <c r="J491" i="15"/>
  <c r="F355" i="16"/>
  <c r="F445" i="16" s="1"/>
  <c r="K472" i="16"/>
  <c r="G355" i="15"/>
  <c r="G156" i="15"/>
  <c r="K17" i="16"/>
  <c r="K416" i="16" s="1"/>
  <c r="L416" i="16" s="1"/>
  <c r="G227" i="15"/>
  <c r="F369" i="15"/>
  <c r="K362" i="16"/>
  <c r="K457" i="16"/>
  <c r="G340" i="15"/>
  <c r="H355" i="16"/>
  <c r="H437" i="16" s="1"/>
  <c r="K455" i="16"/>
  <c r="G388" i="16"/>
  <c r="G465" i="16"/>
  <c r="K456" i="16"/>
  <c r="L333" i="16"/>
  <c r="K341" i="16"/>
  <c r="K364" i="16"/>
  <c r="L364" i="16" s="1"/>
  <c r="K361" i="16"/>
  <c r="L361" i="16" s="1"/>
  <c r="K365" i="16"/>
  <c r="L365" i="16" s="1"/>
  <c r="K374" i="16"/>
  <c r="L80" i="16"/>
  <c r="L92" i="6"/>
  <c r="K172" i="16"/>
  <c r="L172" i="16" s="1"/>
  <c r="H213" i="15"/>
  <c r="H537" i="15"/>
  <c r="H339" i="15"/>
  <c r="H531" i="15" s="1"/>
  <c r="H256" i="16"/>
  <c r="H450" i="16" s="1"/>
  <c r="H411" i="15"/>
  <c r="H532" i="15"/>
  <c r="K253" i="16"/>
  <c r="K420" i="16" s="1"/>
  <c r="L420" i="16" s="1"/>
  <c r="J481" i="16"/>
  <c r="J404" i="16"/>
  <c r="H164" i="16"/>
  <c r="H434" i="16" s="1"/>
  <c r="H388" i="16"/>
  <c r="G178" i="16"/>
  <c r="G442" i="16" s="1"/>
  <c r="J90" i="16"/>
  <c r="J425" i="16" s="1"/>
  <c r="J374" i="16"/>
  <c r="J407" i="16"/>
  <c r="J484" i="16"/>
  <c r="L94" i="6"/>
  <c r="K174" i="16"/>
  <c r="L174" i="16" s="1"/>
  <c r="G267" i="16"/>
  <c r="G428" i="16" s="1"/>
  <c r="G373" i="16"/>
  <c r="J109" i="16"/>
  <c r="K375" i="16"/>
  <c r="L375" i="16" s="1"/>
  <c r="L9" i="16"/>
  <c r="F296" i="16"/>
  <c r="F444" i="16" s="1"/>
  <c r="J105" i="16"/>
  <c r="J433" i="16" s="1"/>
  <c r="H226" i="15"/>
  <c r="H33" i="7" s="1"/>
  <c r="H167" i="16"/>
  <c r="H178" i="16" s="1"/>
  <c r="H442" i="16" s="1"/>
  <c r="L89" i="6"/>
  <c r="K169" i="16"/>
  <c r="L169" i="16" s="1"/>
  <c r="I153" i="16"/>
  <c r="L354" i="16"/>
  <c r="C355" i="16"/>
  <c r="D445" i="16"/>
  <c r="D437" i="16"/>
  <c r="K366" i="16"/>
  <c r="L366" i="16" s="1"/>
  <c r="F402" i="16"/>
  <c r="K312" i="16"/>
  <c r="K421" i="16" s="1"/>
  <c r="L421" i="16" s="1"/>
  <c r="L94" i="10"/>
  <c r="L92" i="11"/>
  <c r="K231" i="16"/>
  <c r="L231" i="16" s="1"/>
  <c r="H142" i="15"/>
  <c r="H536" i="15"/>
  <c r="I149" i="16"/>
  <c r="I426" i="16" s="1"/>
  <c r="H426" i="15"/>
  <c r="H540" i="15"/>
  <c r="H198" i="15"/>
  <c r="H529" i="15"/>
  <c r="G119" i="16"/>
  <c r="G441" i="16" s="1"/>
  <c r="J409" i="16"/>
  <c r="J486" i="16"/>
  <c r="J405" i="16"/>
  <c r="J482" i="16"/>
  <c r="J408" i="16"/>
  <c r="J485" i="16"/>
  <c r="K76" i="16"/>
  <c r="K417" i="16" s="1"/>
  <c r="L417" i="16" s="1"/>
  <c r="L90" i="13"/>
  <c r="H155" i="15"/>
  <c r="H32" i="7" s="1"/>
  <c r="H108" i="16"/>
  <c r="L89" i="10"/>
  <c r="K110" i="16"/>
  <c r="L110" i="16" s="1"/>
  <c r="L92" i="10"/>
  <c r="K113" i="16"/>
  <c r="L113" i="16" s="1"/>
  <c r="L92" i="12"/>
  <c r="K290" i="16"/>
  <c r="L290" i="16" s="1"/>
  <c r="L11" i="16"/>
  <c r="I135" i="16"/>
  <c r="I418" i="16" s="1"/>
  <c r="I359" i="16"/>
  <c r="L12" i="16"/>
  <c r="L93" i="10"/>
  <c r="K114" i="16"/>
  <c r="L114" i="16" s="1"/>
  <c r="L93" i="13"/>
  <c r="K54" i="16"/>
  <c r="L54" i="16" s="1"/>
  <c r="L90" i="11"/>
  <c r="J505" i="15"/>
  <c r="J124" i="16"/>
  <c r="G368" i="15"/>
  <c r="G35" i="7" s="1"/>
  <c r="G285" i="16"/>
  <c r="J85" i="15"/>
  <c r="J543" i="15"/>
  <c r="G282" i="16"/>
  <c r="G436" i="16" s="1"/>
  <c r="I440" i="16"/>
  <c r="L45" i="16"/>
  <c r="J447" i="15"/>
  <c r="K46" i="16"/>
  <c r="K432" i="16" s="1"/>
  <c r="L432" i="16" s="1"/>
  <c r="K222" i="15"/>
  <c r="K216" i="15"/>
  <c r="K431" i="15"/>
  <c r="K347" i="16" s="1"/>
  <c r="K289" i="15"/>
  <c r="K229" i="16" s="1"/>
  <c r="K56" i="15"/>
  <c r="K494" i="15"/>
  <c r="K449" i="15"/>
  <c r="L449" i="15" s="1"/>
  <c r="K31" i="16"/>
  <c r="K424" i="16" s="1"/>
  <c r="L424" i="16" s="1"/>
  <c r="L22" i="16"/>
  <c r="K493" i="15"/>
  <c r="K71" i="15"/>
  <c r="L70" i="15"/>
  <c r="K84" i="15"/>
  <c r="J60" i="16"/>
  <c r="K450" i="15"/>
  <c r="L450" i="15" s="1"/>
  <c r="D426" i="15"/>
  <c r="C426" i="15"/>
  <c r="E426" i="15"/>
  <c r="G426" i="15"/>
  <c r="F426" i="15"/>
  <c r="J445" i="15"/>
  <c r="I197" i="15"/>
  <c r="L131" i="15"/>
  <c r="K475" i="15"/>
  <c r="L116" i="15"/>
  <c r="K461" i="15"/>
  <c r="L122" i="15"/>
  <c r="K467" i="15"/>
  <c r="L137" i="15"/>
  <c r="K481" i="15"/>
  <c r="J451" i="15"/>
  <c r="J495" i="15"/>
  <c r="H355" i="15"/>
  <c r="I411" i="15"/>
  <c r="I127" i="15"/>
  <c r="C439" i="15"/>
  <c r="C36" i="7" s="1"/>
  <c r="G439" i="15"/>
  <c r="G36" i="7" s="1"/>
  <c r="F439" i="15"/>
  <c r="D439" i="15"/>
  <c r="D36" i="7" s="1"/>
  <c r="E439" i="15"/>
  <c r="E36" i="7" s="1"/>
  <c r="G444" i="15"/>
  <c r="H357" i="15"/>
  <c r="H488" i="15" s="1"/>
  <c r="J396" i="15"/>
  <c r="J524" i="15" s="1"/>
  <c r="J410" i="15"/>
  <c r="J532" i="15" s="1"/>
  <c r="I428" i="15"/>
  <c r="I344" i="16" s="1"/>
  <c r="I355" i="16" s="1"/>
  <c r="I425" i="15"/>
  <c r="H439" i="15"/>
  <c r="H36" i="7" s="1"/>
  <c r="I328" i="15"/>
  <c r="I460" i="15" s="1"/>
  <c r="I343" i="15"/>
  <c r="I474" i="15" s="1"/>
  <c r="I325" i="15"/>
  <c r="I523" i="15" s="1"/>
  <c r="J343" i="15"/>
  <c r="J271" i="16" s="1"/>
  <c r="K151" i="15"/>
  <c r="K115" i="16" s="1"/>
  <c r="L115" i="16" s="1"/>
  <c r="K145" i="15"/>
  <c r="K109" i="16" s="1"/>
  <c r="K480" i="16" s="1"/>
  <c r="J186" i="15"/>
  <c r="J138" i="16" s="1"/>
  <c r="J201" i="15"/>
  <c r="J183" i="15"/>
  <c r="J521" i="15" s="1"/>
  <c r="I215" i="15"/>
  <c r="I212" i="15"/>
  <c r="J112" i="15"/>
  <c r="J520" i="15" s="1"/>
  <c r="J126" i="15"/>
  <c r="J528" i="15" s="1"/>
  <c r="I144" i="15"/>
  <c r="I141" i="15"/>
  <c r="L92" i="9"/>
  <c r="K8" i="8"/>
  <c r="B104" i="13"/>
  <c r="K5" i="8"/>
  <c r="L5" i="8" s="1"/>
  <c r="B104" i="6"/>
  <c r="B246" i="15" s="1"/>
  <c r="B186" i="16" s="1"/>
  <c r="L186" i="16" s="1"/>
  <c r="K4" i="8"/>
  <c r="L4" i="8" s="1"/>
  <c r="K98" i="13"/>
  <c r="L89" i="13"/>
  <c r="L45" i="8"/>
  <c r="L75" i="8"/>
  <c r="K84" i="8"/>
  <c r="L88" i="10"/>
  <c r="L88" i="6"/>
  <c r="L44" i="8"/>
  <c r="K58" i="8"/>
  <c r="L89" i="11"/>
  <c r="K101" i="11"/>
  <c r="K98" i="11"/>
  <c r="B103" i="11" s="1"/>
  <c r="L89" i="12"/>
  <c r="L29" i="8"/>
  <c r="L35" i="8"/>
  <c r="K27" i="1" a="1"/>
  <c r="J25" i="1" a="1"/>
  <c r="J29" i="1" a="1"/>
  <c r="K28" i="1" a="1"/>
  <c r="H22" i="1" a="1"/>
  <c r="L90" i="12" l="1"/>
  <c r="K98" i="10"/>
  <c r="K350" i="16"/>
  <c r="L350" i="16" s="1"/>
  <c r="L94" i="9"/>
  <c r="K376" i="16"/>
  <c r="B102" i="9"/>
  <c r="K14" i="8"/>
  <c r="L14" i="8" s="1"/>
  <c r="B104" i="9"/>
  <c r="L55" i="15"/>
  <c r="K380" i="16"/>
  <c r="L380" i="16" s="1"/>
  <c r="B102" i="6"/>
  <c r="L86" i="16"/>
  <c r="B102" i="10"/>
  <c r="K292" i="16"/>
  <c r="L292" i="16" s="1"/>
  <c r="B103" i="10"/>
  <c r="B102" i="13"/>
  <c r="B104" i="11"/>
  <c r="L93" i="6"/>
  <c r="K60" i="8"/>
  <c r="L60" i="8" s="1"/>
  <c r="B103" i="13"/>
  <c r="B104" i="12"/>
  <c r="K105" i="16"/>
  <c r="K433" i="16" s="1"/>
  <c r="L433" i="16" s="1"/>
  <c r="K391" i="16"/>
  <c r="K101" i="10"/>
  <c r="K172" i="15" s="1"/>
  <c r="L93" i="11"/>
  <c r="L90" i="9"/>
  <c r="J68" i="8"/>
  <c r="J104" i="8" s="1"/>
  <c r="K101" i="9"/>
  <c r="L89" i="9"/>
  <c r="K98" i="6"/>
  <c r="B103" i="6" s="1"/>
  <c r="K101" i="6"/>
  <c r="L93" i="9"/>
  <c r="K59" i="8"/>
  <c r="L59" i="8" s="1"/>
  <c r="F548" i="15"/>
  <c r="F36" i="7"/>
  <c r="L95" i="16"/>
  <c r="K389" i="16"/>
  <c r="K39" i="8"/>
  <c r="K378" i="16"/>
  <c r="L378" i="16" s="1"/>
  <c r="K54" i="8"/>
  <c r="K62" i="8"/>
  <c r="L62" i="8" s="1"/>
  <c r="K98" i="9"/>
  <c r="B103" i="9" s="1"/>
  <c r="K64" i="8"/>
  <c r="L64" i="8" s="1"/>
  <c r="K101" i="12"/>
  <c r="L93" i="12"/>
  <c r="K98" i="12"/>
  <c r="B103" i="12" s="1"/>
  <c r="K326" i="16"/>
  <c r="K429" i="16" s="1"/>
  <c r="L429" i="16" s="1"/>
  <c r="K390" i="16"/>
  <c r="L390" i="16" s="1"/>
  <c r="K379" i="16"/>
  <c r="L379" i="16" s="1"/>
  <c r="K467" i="16"/>
  <c r="K394" i="16"/>
  <c r="L394" i="16" s="1"/>
  <c r="K63" i="8"/>
  <c r="L63" i="8" s="1"/>
  <c r="K100" i="8"/>
  <c r="L91" i="8"/>
  <c r="K470" i="16"/>
  <c r="K471" i="16"/>
  <c r="K468" i="16"/>
  <c r="K393" i="16"/>
  <c r="L393" i="16" s="1"/>
  <c r="B102" i="12"/>
  <c r="K395" i="16"/>
  <c r="L395" i="16" s="1"/>
  <c r="K453" i="16"/>
  <c r="H544" i="15"/>
  <c r="G548" i="15"/>
  <c r="H548" i="15"/>
  <c r="C548" i="15"/>
  <c r="G547" i="15"/>
  <c r="D548" i="15"/>
  <c r="E548" i="15"/>
  <c r="J29" i="1"/>
  <c r="K28" i="1"/>
  <c r="J25" i="1"/>
  <c r="H22" i="1"/>
  <c r="K27" i="1"/>
  <c r="H545" i="15"/>
  <c r="E445" i="16"/>
  <c r="F437" i="16"/>
  <c r="J403" i="16"/>
  <c r="J480" i="16"/>
  <c r="G445" i="16"/>
  <c r="K491" i="15"/>
  <c r="H340" i="15"/>
  <c r="H445" i="16"/>
  <c r="H156" i="15"/>
  <c r="H227" i="15"/>
  <c r="G369" i="15"/>
  <c r="J282" i="16"/>
  <c r="J436" i="16" s="1"/>
  <c r="J465" i="16"/>
  <c r="G296" i="16"/>
  <c r="G444" i="16" s="1"/>
  <c r="G479" i="16"/>
  <c r="B135" i="16"/>
  <c r="B418" i="16" s="1"/>
  <c r="B362" i="16"/>
  <c r="L127" i="16"/>
  <c r="K403" i="16"/>
  <c r="L109" i="16"/>
  <c r="I213" i="15"/>
  <c r="I537" i="15"/>
  <c r="H368" i="15"/>
  <c r="H285" i="16"/>
  <c r="I164" i="16"/>
  <c r="I434" i="16" s="1"/>
  <c r="I226" i="15"/>
  <c r="I33" i="7" s="1"/>
  <c r="I167" i="16"/>
  <c r="I178" i="16" s="1"/>
  <c r="I442" i="16" s="1"/>
  <c r="J135" i="16"/>
  <c r="J418" i="16" s="1"/>
  <c r="J359" i="16"/>
  <c r="K486" i="16"/>
  <c r="L425" i="16"/>
  <c r="I339" i="15"/>
  <c r="I531" i="15" s="1"/>
  <c r="I256" i="16"/>
  <c r="I450" i="16" s="1"/>
  <c r="K485" i="16"/>
  <c r="K408" i="16"/>
  <c r="L408" i="16" s="1"/>
  <c r="J474" i="15"/>
  <c r="J153" i="16"/>
  <c r="I198" i="15"/>
  <c r="I529" i="15"/>
  <c r="I354" i="15"/>
  <c r="I539" i="15" s="1"/>
  <c r="I271" i="16"/>
  <c r="I465" i="16" s="1"/>
  <c r="I142" i="15"/>
  <c r="I536" i="15"/>
  <c r="J149" i="16"/>
  <c r="J426" i="16" s="1"/>
  <c r="I426" i="15"/>
  <c r="I540" i="15"/>
  <c r="K85" i="15"/>
  <c r="K543" i="15"/>
  <c r="L543" i="15" s="1"/>
  <c r="I445" i="16"/>
  <c r="I437" i="16"/>
  <c r="K405" i="16"/>
  <c r="K482" i="16"/>
  <c r="H119" i="16"/>
  <c r="H441" i="16" s="1"/>
  <c r="K481" i="16"/>
  <c r="K404" i="16"/>
  <c r="L404" i="16" s="1"/>
  <c r="I155" i="15"/>
  <c r="I32" i="7" s="1"/>
  <c r="I108" i="16"/>
  <c r="K484" i="16"/>
  <c r="K407" i="16"/>
  <c r="L407" i="16" s="1"/>
  <c r="G402" i="16"/>
  <c r="C437" i="16"/>
  <c r="C445" i="16"/>
  <c r="K505" i="15"/>
  <c r="K124" i="16"/>
  <c r="H267" i="16"/>
  <c r="H428" i="16" s="1"/>
  <c r="H373" i="16"/>
  <c r="J440" i="16"/>
  <c r="K447" i="15"/>
  <c r="K60" i="16"/>
  <c r="L51" i="16"/>
  <c r="B508" i="15"/>
  <c r="L508" i="15" s="1"/>
  <c r="J197" i="15"/>
  <c r="K445" i="15"/>
  <c r="K489" i="15"/>
  <c r="K451" i="15"/>
  <c r="L451" i="15" s="1"/>
  <c r="K495" i="15"/>
  <c r="E440" i="15"/>
  <c r="H440" i="15"/>
  <c r="D440" i="15"/>
  <c r="F440" i="15"/>
  <c r="G440" i="15"/>
  <c r="C440" i="15"/>
  <c r="J411" i="15"/>
  <c r="J127" i="15"/>
  <c r="I439" i="15"/>
  <c r="I36" i="7" s="1"/>
  <c r="H444" i="15"/>
  <c r="L388" i="15"/>
  <c r="B396" i="15"/>
  <c r="J425" i="15"/>
  <c r="J428" i="15"/>
  <c r="K396" i="15"/>
  <c r="K524" i="15" s="1"/>
  <c r="K410" i="15"/>
  <c r="K532" i="15" s="1"/>
  <c r="L385" i="15"/>
  <c r="B331" i="15"/>
  <c r="B259" i="16" s="1"/>
  <c r="L259" i="16" s="1"/>
  <c r="B346" i="15"/>
  <c r="B274" i="16" s="1"/>
  <c r="L274" i="16" s="1"/>
  <c r="B329" i="15"/>
  <c r="B344" i="15"/>
  <c r="J325" i="15"/>
  <c r="J523" i="15" s="1"/>
  <c r="J328" i="15"/>
  <c r="J460" i="15" s="1"/>
  <c r="I357" i="15"/>
  <c r="I488" i="15" s="1"/>
  <c r="J354" i="15"/>
  <c r="J539" i="15" s="1"/>
  <c r="L315" i="15"/>
  <c r="L317" i="15"/>
  <c r="B325" i="15"/>
  <c r="B260" i="15"/>
  <c r="B200" i="16" s="1"/>
  <c r="B275" i="15"/>
  <c r="B215" i="16" s="1"/>
  <c r="L246" i="15"/>
  <c r="B189" i="15"/>
  <c r="B141" i="16" s="1"/>
  <c r="B204" i="15"/>
  <c r="B156" i="16" s="1"/>
  <c r="K186" i="15"/>
  <c r="K201" i="15"/>
  <c r="L175" i="15"/>
  <c r="B183" i="15"/>
  <c r="K183" i="15"/>
  <c r="K521" i="15" s="1"/>
  <c r="L172" i="15"/>
  <c r="J212" i="15"/>
  <c r="J215" i="15"/>
  <c r="J141" i="15"/>
  <c r="J144" i="15"/>
  <c r="L104" i="15"/>
  <c r="B112" i="15"/>
  <c r="B520" i="15" s="1"/>
  <c r="K112" i="15"/>
  <c r="K520" i="15" s="1"/>
  <c r="L101" i="15"/>
  <c r="K24" i="8"/>
  <c r="L8" i="8"/>
  <c r="K22" i="8"/>
  <c r="K21" i="8"/>
  <c r="K23" i="8"/>
  <c r="K19" i="8"/>
  <c r="K31" i="7" s="1"/>
  <c r="K20" i="8"/>
  <c r="L58" i="8"/>
  <c r="K23" i="1" a="1"/>
  <c r="K29" i="1" a="1"/>
  <c r="I22" i="1" a="1"/>
  <c r="K25" i="1" a="1"/>
  <c r="K409" i="16" l="1"/>
  <c r="L409" i="16" s="1"/>
  <c r="H547" i="15"/>
  <c r="H35" i="7"/>
  <c r="K68" i="8"/>
  <c r="B107" i="8" s="1"/>
  <c r="L215" i="16"/>
  <c r="B468" i="16"/>
  <c r="L200" i="16"/>
  <c r="B453" i="16"/>
  <c r="I544" i="15"/>
  <c r="I548" i="15"/>
  <c r="K23" i="1"/>
  <c r="K25" i="1"/>
  <c r="I22" i="1"/>
  <c r="K29" i="1"/>
  <c r="I545" i="15"/>
  <c r="I340" i="15"/>
  <c r="I227" i="15"/>
  <c r="L520" i="15"/>
  <c r="I355" i="15"/>
  <c r="I156" i="15"/>
  <c r="H369" i="15"/>
  <c r="B391" i="16"/>
  <c r="L391" i="16" s="1"/>
  <c r="B164" i="16"/>
  <c r="L156" i="16"/>
  <c r="H296" i="16"/>
  <c r="H444" i="16" s="1"/>
  <c r="H479" i="16"/>
  <c r="B376" i="16"/>
  <c r="L376" i="16" s="1"/>
  <c r="B149" i="16"/>
  <c r="L141" i="16"/>
  <c r="B477" i="15"/>
  <c r="M183" i="15"/>
  <c r="B521" i="15"/>
  <c r="L521" i="15" s="1"/>
  <c r="B272" i="16"/>
  <c r="B475" i="15"/>
  <c r="M325" i="15"/>
  <c r="B523" i="15"/>
  <c r="L329" i="15"/>
  <c r="B257" i="16"/>
  <c r="B461" i="15"/>
  <c r="M396" i="15"/>
  <c r="B524" i="15"/>
  <c r="L524" i="15" s="1"/>
  <c r="L362" i="16"/>
  <c r="L505" i="15"/>
  <c r="J339" i="15"/>
  <c r="J531" i="15" s="1"/>
  <c r="J256" i="16"/>
  <c r="J450" i="16" s="1"/>
  <c r="J164" i="16"/>
  <c r="J434" i="16" s="1"/>
  <c r="J388" i="16"/>
  <c r="L20" i="8"/>
  <c r="I282" i="16"/>
  <c r="I436" i="16" s="1"/>
  <c r="J344" i="16"/>
  <c r="I388" i="16"/>
  <c r="I119" i="16"/>
  <c r="I441" i="16" s="1"/>
  <c r="J426" i="15"/>
  <c r="J540" i="15"/>
  <c r="J198" i="15"/>
  <c r="J529" i="15"/>
  <c r="L23" i="8"/>
  <c r="K153" i="16"/>
  <c r="J155" i="15"/>
  <c r="J32" i="7" s="1"/>
  <c r="J108" i="16"/>
  <c r="K138" i="16"/>
  <c r="K135" i="16"/>
  <c r="K418" i="16" s="1"/>
  <c r="L418" i="16" s="1"/>
  <c r="K359" i="16"/>
  <c r="L124" i="16"/>
  <c r="I267" i="16"/>
  <c r="I428" i="16" s="1"/>
  <c r="I373" i="16"/>
  <c r="J142" i="15"/>
  <c r="J536" i="15"/>
  <c r="J226" i="15"/>
  <c r="J33" i="7" s="1"/>
  <c r="J167" i="16"/>
  <c r="J178" i="16" s="1"/>
  <c r="J442" i="16" s="1"/>
  <c r="J213" i="15"/>
  <c r="J537" i="15"/>
  <c r="I368" i="15"/>
  <c r="I35" i="7" s="1"/>
  <c r="I285" i="16"/>
  <c r="H402" i="16"/>
  <c r="K440" i="16"/>
  <c r="L440" i="16" s="1"/>
  <c r="I440" i="15"/>
  <c r="K411" i="15"/>
  <c r="J355" i="15"/>
  <c r="M112" i="15"/>
  <c r="L260" i="15"/>
  <c r="B463" i="15"/>
  <c r="I444" i="15"/>
  <c r="J439" i="15"/>
  <c r="J36" i="7" s="1"/>
  <c r="L19" i="8"/>
  <c r="L399" i="15"/>
  <c r="K425" i="15"/>
  <c r="K428" i="15"/>
  <c r="K344" i="16" s="1"/>
  <c r="K355" i="16" s="1"/>
  <c r="L414" i="15"/>
  <c r="L396" i="15"/>
  <c r="L402" i="15"/>
  <c r="B410" i="15"/>
  <c r="L417" i="15"/>
  <c r="B431" i="15"/>
  <c r="B347" i="16" s="1"/>
  <c r="B425" i="15"/>
  <c r="B540" i="15" s="1"/>
  <c r="F24" i="7" s="1"/>
  <c r="K328" i="15"/>
  <c r="K256" i="16" s="1"/>
  <c r="K450" i="16" s="1"/>
  <c r="K343" i="15"/>
  <c r="K474" i="15" s="1"/>
  <c r="L314" i="15"/>
  <c r="K325" i="15"/>
  <c r="J357" i="15"/>
  <c r="J488" i="15" s="1"/>
  <c r="B358" i="15"/>
  <c r="L344" i="15"/>
  <c r="L331" i="15"/>
  <c r="B339" i="15"/>
  <c r="L346" i="15"/>
  <c r="B360" i="15"/>
  <c r="B288" i="16" s="1"/>
  <c r="L288" i="16" s="1"/>
  <c r="B354" i="15"/>
  <c r="L275" i="15"/>
  <c r="B289" i="15"/>
  <c r="B229" i="16" s="1"/>
  <c r="L229" i="16" s="1"/>
  <c r="L183" i="15"/>
  <c r="K197" i="15"/>
  <c r="L186" i="15"/>
  <c r="L189" i="15"/>
  <c r="B197" i="15"/>
  <c r="K212" i="15"/>
  <c r="K215" i="15"/>
  <c r="L201" i="15"/>
  <c r="L204" i="15"/>
  <c r="B218" i="15"/>
  <c r="B212" i="15"/>
  <c r="L112" i="15"/>
  <c r="K126" i="15"/>
  <c r="L115" i="15"/>
  <c r="K141" i="15"/>
  <c r="K144" i="15"/>
  <c r="L130" i="15"/>
  <c r="L118" i="15"/>
  <c r="B126" i="15"/>
  <c r="L133" i="15"/>
  <c r="B147" i="15"/>
  <c r="B111" i="16" s="1"/>
  <c r="B141" i="15"/>
  <c r="L21" i="8"/>
  <c r="L24" i="8"/>
  <c r="L22" i="8"/>
  <c r="B9" i="1" a="1"/>
  <c r="B7" i="1" a="1"/>
  <c r="J22" i="1" a="1"/>
  <c r="D9" i="1" a="1"/>
  <c r="D7" i="1" a="1"/>
  <c r="K104" i="8" l="1"/>
  <c r="L111" i="16"/>
  <c r="B119" i="16"/>
  <c r="B482" i="16"/>
  <c r="J548" i="15"/>
  <c r="J544" i="15"/>
  <c r="I547" i="15"/>
  <c r="J22" i="1"/>
  <c r="B7" i="1"/>
  <c r="B9" i="1"/>
  <c r="D9" i="1"/>
  <c r="D7" i="1"/>
  <c r="J545" i="15"/>
  <c r="I369" i="15"/>
  <c r="J340" i="15"/>
  <c r="B411" i="15"/>
  <c r="B532" i="15"/>
  <c r="B451" i="16"/>
  <c r="B374" i="16"/>
  <c r="B267" i="16"/>
  <c r="L257" i="16"/>
  <c r="B355" i="15"/>
  <c r="B539" i="15"/>
  <c r="F23" i="7" s="1"/>
  <c r="K460" i="15"/>
  <c r="B340" i="15"/>
  <c r="B531" i="15"/>
  <c r="B226" i="15"/>
  <c r="B33" i="7" s="1"/>
  <c r="B170" i="16"/>
  <c r="I296" i="16"/>
  <c r="I444" i="16" s="1"/>
  <c r="I479" i="16"/>
  <c r="B434" i="16"/>
  <c r="B165" i="16"/>
  <c r="B213" i="15"/>
  <c r="B537" i="15"/>
  <c r="F21" i="7" s="1"/>
  <c r="B355" i="16"/>
  <c r="L347" i="16"/>
  <c r="B142" i="15"/>
  <c r="B536" i="15"/>
  <c r="F20" i="7" s="1"/>
  <c r="B198" i="15"/>
  <c r="B529" i="15"/>
  <c r="B127" i="15"/>
  <c r="B528" i="15"/>
  <c r="B20" i="7" s="1"/>
  <c r="B491" i="15"/>
  <c r="B445" i="15"/>
  <c r="B286" i="16"/>
  <c r="B489" i="15"/>
  <c r="B466" i="16"/>
  <c r="B389" i="16"/>
  <c r="B282" i="16"/>
  <c r="L272" i="16"/>
  <c r="B426" i="16"/>
  <c r="B150" i="16"/>
  <c r="J156" i="15"/>
  <c r="K127" i="15"/>
  <c r="K528" i="15"/>
  <c r="L359" i="16"/>
  <c r="K445" i="16"/>
  <c r="K437" i="16"/>
  <c r="J355" i="16"/>
  <c r="L344" i="16"/>
  <c r="K149" i="16"/>
  <c r="K426" i="16" s="1"/>
  <c r="K373" i="16"/>
  <c r="L138" i="16"/>
  <c r="K164" i="16"/>
  <c r="K434" i="16" s="1"/>
  <c r="K198" i="15"/>
  <c r="K529" i="15"/>
  <c r="J227" i="15"/>
  <c r="L153" i="16"/>
  <c r="J267" i="16"/>
  <c r="J428" i="16" s="1"/>
  <c r="J373" i="16"/>
  <c r="K155" i="15"/>
  <c r="K32" i="7" s="1"/>
  <c r="K108" i="16"/>
  <c r="J119" i="16"/>
  <c r="J441" i="16" s="1"/>
  <c r="I402" i="16"/>
  <c r="K267" i="16"/>
  <c r="K428" i="16" s="1"/>
  <c r="L256" i="16"/>
  <c r="K426" i="15"/>
  <c r="K540" i="15"/>
  <c r="L540" i="15" s="1"/>
  <c r="K142" i="15"/>
  <c r="K536" i="15"/>
  <c r="K226" i="15"/>
  <c r="K33" i="7" s="1"/>
  <c r="K167" i="16"/>
  <c r="J368" i="15"/>
  <c r="J35" i="7" s="1"/>
  <c r="J285" i="16"/>
  <c r="K354" i="15"/>
  <c r="K539" i="15" s="1"/>
  <c r="K271" i="16"/>
  <c r="K465" i="16" s="1"/>
  <c r="K213" i="15"/>
  <c r="K537" i="15"/>
  <c r="L325" i="15"/>
  <c r="K523" i="15"/>
  <c r="L523" i="15" s="1"/>
  <c r="B426" i="15"/>
  <c r="J440" i="15"/>
  <c r="L410" i="15"/>
  <c r="L425" i="15"/>
  <c r="B439" i="15"/>
  <c r="B36" i="7" s="1"/>
  <c r="B447" i="15"/>
  <c r="L447" i="15" s="1"/>
  <c r="K439" i="15"/>
  <c r="K36" i="7" s="1"/>
  <c r="J444" i="15"/>
  <c r="L25" i="8"/>
  <c r="B9" i="7" s="1"/>
  <c r="B368" i="15"/>
  <c r="B35" i="7" s="1"/>
  <c r="L343" i="15"/>
  <c r="K357" i="15"/>
  <c r="K488" i="15" s="1"/>
  <c r="L328" i="15"/>
  <c r="K339" i="15"/>
  <c r="K245" i="15"/>
  <c r="K507" i="15" s="1"/>
  <c r="C245" i="15"/>
  <c r="C507" i="15" s="1"/>
  <c r="I245" i="15"/>
  <c r="I507" i="15" s="1"/>
  <c r="H245" i="15"/>
  <c r="H507" i="15" s="1"/>
  <c r="G245" i="15"/>
  <c r="G507" i="15" s="1"/>
  <c r="B245" i="15"/>
  <c r="B507" i="15" s="1"/>
  <c r="F245" i="15"/>
  <c r="F507" i="15" s="1"/>
  <c r="D245" i="15"/>
  <c r="D507" i="15" s="1"/>
  <c r="E245" i="15"/>
  <c r="E507" i="15" s="1"/>
  <c r="J245" i="15"/>
  <c r="J507" i="15" s="1"/>
  <c r="B155" i="15"/>
  <c r="B32" i="7" s="1"/>
  <c r="L197" i="15"/>
  <c r="L212" i="15"/>
  <c r="L126" i="15"/>
  <c r="L141" i="15"/>
  <c r="C7" i="1" a="1"/>
  <c r="K22" i="1" a="1"/>
  <c r="B23" i="1" a="1"/>
  <c r="B25" i="1" a="1"/>
  <c r="L445" i="15" l="1"/>
  <c r="B120" i="16"/>
  <c r="B441" i="16"/>
  <c r="B548" i="15"/>
  <c r="D24" i="7" s="1"/>
  <c r="K544" i="15"/>
  <c r="J547" i="15"/>
  <c r="B21" i="7"/>
  <c r="B544" i="15"/>
  <c r="D20" i="7" s="1"/>
  <c r="K548" i="15"/>
  <c r="L532" i="15"/>
  <c r="B24" i="7"/>
  <c r="K22" i="1"/>
  <c r="B23" i="1"/>
  <c r="C7" i="1"/>
  <c r="B25" i="1"/>
  <c r="K545" i="15"/>
  <c r="L426" i="16"/>
  <c r="L536" i="15"/>
  <c r="L529" i="15"/>
  <c r="L528" i="15"/>
  <c r="K156" i="15"/>
  <c r="L537" i="15"/>
  <c r="L539" i="15"/>
  <c r="B480" i="16"/>
  <c r="B403" i="16"/>
  <c r="B296" i="16"/>
  <c r="L286" i="16"/>
  <c r="J296" i="16"/>
  <c r="J444" i="16" s="1"/>
  <c r="J479" i="16"/>
  <c r="B405" i="16"/>
  <c r="L405" i="16" s="1"/>
  <c r="B178" i="16"/>
  <c r="L170" i="16"/>
  <c r="B428" i="16"/>
  <c r="B23" i="7" s="1"/>
  <c r="B268" i="16"/>
  <c r="B356" i="16"/>
  <c r="B437" i="16"/>
  <c r="B445" i="16"/>
  <c r="B227" i="15"/>
  <c r="B545" i="15"/>
  <c r="L374" i="16"/>
  <c r="B369" i="15"/>
  <c r="B547" i="15"/>
  <c r="D23" i="7" s="1"/>
  <c r="B436" i="16"/>
  <c r="B283" i="16"/>
  <c r="L434" i="16"/>
  <c r="L389" i="16"/>
  <c r="J369" i="15"/>
  <c r="K178" i="16"/>
  <c r="K442" i="16" s="1"/>
  <c r="L167" i="16"/>
  <c r="J402" i="16"/>
  <c r="L354" i="15"/>
  <c r="K355" i="15"/>
  <c r="L373" i="16"/>
  <c r="K340" i="15"/>
  <c r="K531" i="15"/>
  <c r="L531" i="15" s="1"/>
  <c r="K282" i="16"/>
  <c r="K436" i="16" s="1"/>
  <c r="L271" i="16"/>
  <c r="K119" i="16"/>
  <c r="K441" i="16" s="1"/>
  <c r="L108" i="16"/>
  <c r="K368" i="15"/>
  <c r="K35" i="7" s="1"/>
  <c r="K285" i="16"/>
  <c r="J437" i="16"/>
  <c r="J445" i="16"/>
  <c r="K227" i="15"/>
  <c r="K388" i="16"/>
  <c r="L507" i="15"/>
  <c r="K440" i="15"/>
  <c r="B440" i="15"/>
  <c r="L339" i="15"/>
  <c r="B156" i="15"/>
  <c r="K444" i="15"/>
  <c r="C253" i="15"/>
  <c r="G253" i="15"/>
  <c r="H253" i="15"/>
  <c r="E253" i="15"/>
  <c r="C259" i="15"/>
  <c r="C462" i="15" s="1"/>
  <c r="C274" i="15"/>
  <c r="C476" i="15" s="1"/>
  <c r="K259" i="15"/>
  <c r="K462" i="15" s="1"/>
  <c r="K274" i="15"/>
  <c r="K476" i="15" s="1"/>
  <c r="E259" i="15"/>
  <c r="E462" i="15" s="1"/>
  <c r="E274" i="15"/>
  <c r="E476" i="15" s="1"/>
  <c r="D259" i="15"/>
  <c r="D462" i="15" s="1"/>
  <c r="D274" i="15"/>
  <c r="D476" i="15" s="1"/>
  <c r="F259" i="15"/>
  <c r="F462" i="15" s="1"/>
  <c r="F274" i="15"/>
  <c r="F476" i="15" s="1"/>
  <c r="G259" i="15"/>
  <c r="G462" i="15" s="1"/>
  <c r="G274" i="15"/>
  <c r="G476" i="15" s="1"/>
  <c r="B259" i="15"/>
  <c r="B462" i="15" s="1"/>
  <c r="B274" i="15"/>
  <c r="B476" i="15" s="1"/>
  <c r="H259" i="15"/>
  <c r="H462" i="15" s="1"/>
  <c r="H274" i="15"/>
  <c r="H476" i="15" s="1"/>
  <c r="J259" i="15"/>
  <c r="J462" i="15" s="1"/>
  <c r="J274" i="15"/>
  <c r="J476" i="15" s="1"/>
  <c r="I259" i="15"/>
  <c r="I462" i="15" s="1"/>
  <c r="I274" i="15"/>
  <c r="I476" i="15" s="1"/>
  <c r="L245" i="15"/>
  <c r="C9" i="1" a="1"/>
  <c r="B8" i="1" a="1"/>
  <c r="D8" i="1" a="1"/>
  <c r="L444" i="15" l="1"/>
  <c r="L441" i="16"/>
  <c r="C9" i="1"/>
  <c r="L548" i="15"/>
  <c r="L544" i="15"/>
  <c r="K547" i="15"/>
  <c r="L547" i="15" s="1"/>
  <c r="D8" i="1"/>
  <c r="B8" i="1"/>
  <c r="L545" i="15"/>
  <c r="D21" i="7"/>
  <c r="L428" i="16"/>
  <c r="L436" i="16"/>
  <c r="L445" i="16"/>
  <c r="L437" i="16"/>
  <c r="K402" i="16"/>
  <c r="L402" i="16" s="1"/>
  <c r="K479" i="16"/>
  <c r="B297" i="16"/>
  <c r="B444" i="16"/>
  <c r="L403" i="16"/>
  <c r="B179" i="16"/>
  <c r="B442" i="16"/>
  <c r="L442" i="16" s="1"/>
  <c r="K369" i="15"/>
  <c r="G515" i="15"/>
  <c r="G516" i="15" s="1"/>
  <c r="G193" i="16"/>
  <c r="C515" i="15"/>
  <c r="C516" i="15" s="1"/>
  <c r="C193" i="16"/>
  <c r="L388" i="16"/>
  <c r="E515" i="15"/>
  <c r="E516" i="15" s="1"/>
  <c r="E193" i="16"/>
  <c r="K296" i="16"/>
  <c r="K444" i="16" s="1"/>
  <c r="L285" i="16"/>
  <c r="H515" i="15"/>
  <c r="H516" i="15" s="1"/>
  <c r="H193" i="16"/>
  <c r="B253" i="15"/>
  <c r="B193" i="16" s="1"/>
  <c r="K253" i="15"/>
  <c r="K193" i="16" s="1"/>
  <c r="J253" i="15"/>
  <c r="J193" i="16" s="1"/>
  <c r="D253" i="15"/>
  <c r="D193" i="16" s="1"/>
  <c r="F253" i="15"/>
  <c r="F193" i="16" s="1"/>
  <c r="I253" i="15"/>
  <c r="I193" i="16" s="1"/>
  <c r="C267" i="15"/>
  <c r="C207" i="16" s="1"/>
  <c r="C460" i="16" s="1"/>
  <c r="C461" i="16" s="1"/>
  <c r="C282" i="15"/>
  <c r="C222" i="16" s="1"/>
  <c r="C475" i="16" s="1"/>
  <c r="C476" i="16" s="1"/>
  <c r="G267" i="15"/>
  <c r="G207" i="16" s="1"/>
  <c r="G460" i="16" s="1"/>
  <c r="G461" i="16" s="1"/>
  <c r="G282" i="15"/>
  <c r="G222" i="16" s="1"/>
  <c r="G475" i="16" s="1"/>
  <c r="G476" i="16" s="1"/>
  <c r="H267" i="15"/>
  <c r="H207" i="16" s="1"/>
  <c r="H460" i="16" s="1"/>
  <c r="H461" i="16" s="1"/>
  <c r="H282" i="15"/>
  <c r="H222" i="16" s="1"/>
  <c r="H475" i="16" s="1"/>
  <c r="H476" i="16" s="1"/>
  <c r="E267" i="15"/>
  <c r="E207" i="16" s="1"/>
  <c r="E460" i="16" s="1"/>
  <c r="E461" i="16" s="1"/>
  <c r="E282" i="15"/>
  <c r="E222" i="16" s="1"/>
  <c r="E475" i="16" s="1"/>
  <c r="E476" i="16" s="1"/>
  <c r="G288" i="15"/>
  <c r="E288" i="15"/>
  <c r="H288" i="15"/>
  <c r="C254" i="15"/>
  <c r="C522" i="15" s="1"/>
  <c r="B288" i="15"/>
  <c r="L274" i="15"/>
  <c r="K288" i="15"/>
  <c r="H254" i="15"/>
  <c r="H522" i="15" s="1"/>
  <c r="I288" i="15"/>
  <c r="C288" i="15"/>
  <c r="J288" i="15"/>
  <c r="L259" i="15"/>
  <c r="G254" i="15"/>
  <c r="G522" i="15" s="1"/>
  <c r="F288" i="15"/>
  <c r="E254" i="15"/>
  <c r="E522" i="15" s="1"/>
  <c r="D288" i="15"/>
  <c r="L444" i="16" l="1"/>
  <c r="B369" i="16"/>
  <c r="B370" i="16" s="1"/>
  <c r="B194" i="16"/>
  <c r="B419" i="16" s="1"/>
  <c r="G383" i="16"/>
  <c r="G384" i="16" s="1"/>
  <c r="G208" i="16"/>
  <c r="G427" i="16" s="1"/>
  <c r="C223" i="16"/>
  <c r="C435" i="16" s="1"/>
  <c r="C398" i="16"/>
  <c r="H369" i="16"/>
  <c r="H370" i="16" s="1"/>
  <c r="H194" i="16"/>
  <c r="H419" i="16" s="1"/>
  <c r="C383" i="16"/>
  <c r="C384" i="16" s="1"/>
  <c r="C208" i="16"/>
  <c r="C427" i="16" s="1"/>
  <c r="E223" i="16"/>
  <c r="E435" i="16" s="1"/>
  <c r="E398" i="16"/>
  <c r="E399" i="16" s="1"/>
  <c r="I369" i="16"/>
  <c r="I370" i="16" s="1"/>
  <c r="I194" i="16"/>
  <c r="I419" i="16" s="1"/>
  <c r="E383" i="16"/>
  <c r="E384" i="16" s="1"/>
  <c r="E208" i="16"/>
  <c r="E427" i="16" s="1"/>
  <c r="F369" i="16"/>
  <c r="F370" i="16" s="1"/>
  <c r="F194" i="16"/>
  <c r="F419" i="16" s="1"/>
  <c r="L193" i="16"/>
  <c r="C369" i="16"/>
  <c r="C370" i="16" s="1"/>
  <c r="C194" i="16"/>
  <c r="C419" i="16" s="1"/>
  <c r="H398" i="16"/>
  <c r="H399" i="16" s="1"/>
  <c r="H223" i="16"/>
  <c r="H435" i="16" s="1"/>
  <c r="D369" i="16"/>
  <c r="D370" i="16" s="1"/>
  <c r="D194" i="16"/>
  <c r="D419" i="16" s="1"/>
  <c r="E369" i="16"/>
  <c r="E370" i="16" s="1"/>
  <c r="E194" i="16"/>
  <c r="E419" i="16" s="1"/>
  <c r="H383" i="16"/>
  <c r="H384" i="16" s="1"/>
  <c r="H208" i="16"/>
  <c r="H427" i="16" s="1"/>
  <c r="J369" i="16"/>
  <c r="J370" i="16" s="1"/>
  <c r="J194" i="16"/>
  <c r="J419" i="16" s="1"/>
  <c r="G369" i="16"/>
  <c r="G370" i="16" s="1"/>
  <c r="G194" i="16"/>
  <c r="G419" i="16" s="1"/>
  <c r="G398" i="16"/>
  <c r="G399" i="16" s="1"/>
  <c r="G223" i="16"/>
  <c r="G435" i="16" s="1"/>
  <c r="K369" i="16"/>
  <c r="K194" i="16"/>
  <c r="K419" i="16" s="1"/>
  <c r="F267" i="15"/>
  <c r="F515" i="15"/>
  <c r="F516" i="15" s="1"/>
  <c r="D267" i="15"/>
  <c r="D515" i="15"/>
  <c r="D516" i="15" s="1"/>
  <c r="J267" i="15"/>
  <c r="J515" i="15"/>
  <c r="J516" i="15" s="1"/>
  <c r="I282" i="15"/>
  <c r="I515" i="15"/>
  <c r="I516" i="15" s="1"/>
  <c r="K282" i="15"/>
  <c r="K515" i="15"/>
  <c r="K516" i="15" s="1"/>
  <c r="B282" i="15"/>
  <c r="B515" i="15"/>
  <c r="B516" i="15" s="1"/>
  <c r="E484" i="15"/>
  <c r="E485" i="15" s="1"/>
  <c r="C484" i="15"/>
  <c r="C485" i="15" s="1"/>
  <c r="H484" i="15"/>
  <c r="H485" i="15" s="1"/>
  <c r="G484" i="15"/>
  <c r="G485" i="15" s="1"/>
  <c r="B446" i="15"/>
  <c r="B490" i="15"/>
  <c r="H268" i="15"/>
  <c r="H470" i="15"/>
  <c r="H471" i="15" s="1"/>
  <c r="F446" i="15"/>
  <c r="F490" i="15"/>
  <c r="H446" i="15"/>
  <c r="H490" i="15"/>
  <c r="G268" i="15"/>
  <c r="G470" i="15"/>
  <c r="G471" i="15" s="1"/>
  <c r="C446" i="15"/>
  <c r="C490" i="15"/>
  <c r="E446" i="15"/>
  <c r="E490" i="15"/>
  <c r="J446" i="15"/>
  <c r="J490" i="15"/>
  <c r="I446" i="15"/>
  <c r="I490" i="15"/>
  <c r="G446" i="15"/>
  <c r="G490" i="15"/>
  <c r="C268" i="15"/>
  <c r="C470" i="15"/>
  <c r="C471" i="15" s="1"/>
  <c r="D446" i="15"/>
  <c r="D490" i="15"/>
  <c r="K446" i="15"/>
  <c r="K490" i="15"/>
  <c r="E268" i="15"/>
  <c r="E470" i="15"/>
  <c r="E471" i="15" s="1"/>
  <c r="K267" i="15"/>
  <c r="K207" i="16" s="1"/>
  <c r="K460" i="16" s="1"/>
  <c r="K461" i="16" s="1"/>
  <c r="F254" i="15"/>
  <c r="F522" i="15" s="1"/>
  <c r="K254" i="15"/>
  <c r="K522" i="15" s="1"/>
  <c r="B267" i="15"/>
  <c r="B207" i="16" s="1"/>
  <c r="B460" i="16" s="1"/>
  <c r="B461" i="16" s="1"/>
  <c r="J254" i="15"/>
  <c r="J522" i="15" s="1"/>
  <c r="B254" i="15"/>
  <c r="B522" i="15" s="1"/>
  <c r="L253" i="15"/>
  <c r="I254" i="15"/>
  <c r="I522" i="15" s="1"/>
  <c r="F282" i="15"/>
  <c r="F222" i="16" s="1"/>
  <c r="F475" i="16" s="1"/>
  <c r="F476" i="16" s="1"/>
  <c r="I267" i="15"/>
  <c r="I207" i="16" s="1"/>
  <c r="I460" i="16" s="1"/>
  <c r="I461" i="16" s="1"/>
  <c r="D282" i="15"/>
  <c r="D222" i="16" s="1"/>
  <c r="D475" i="16" s="1"/>
  <c r="D476" i="16" s="1"/>
  <c r="D254" i="15"/>
  <c r="D522" i="15" s="1"/>
  <c r="J282" i="15"/>
  <c r="J222" i="16" s="1"/>
  <c r="J475" i="16" s="1"/>
  <c r="J476" i="16" s="1"/>
  <c r="C296" i="15"/>
  <c r="E296" i="15"/>
  <c r="H296" i="15"/>
  <c r="E283" i="15"/>
  <c r="E538" i="15" s="1"/>
  <c r="G296" i="15"/>
  <c r="C283" i="15"/>
  <c r="C538" i="15" s="1"/>
  <c r="G283" i="15"/>
  <c r="G538" i="15" s="1"/>
  <c r="H283" i="15"/>
  <c r="H538" i="15" s="1"/>
  <c r="G24" i="1" a="1"/>
  <c r="F24" i="1" a="1"/>
  <c r="H24" i="1" a="1"/>
  <c r="K24" i="1" a="1"/>
  <c r="D24" i="1" a="1"/>
  <c r="E24" i="1" a="1"/>
  <c r="I24" i="1" a="1"/>
  <c r="C24" i="1" a="1"/>
  <c r="J24" i="1" a="1"/>
  <c r="B24" i="1" a="1"/>
  <c r="D24" i="1" l="1"/>
  <c r="J24" i="1"/>
  <c r="H24" i="1"/>
  <c r="E24" i="1"/>
  <c r="F24" i="1"/>
  <c r="G24" i="1"/>
  <c r="C24" i="1"/>
  <c r="K24" i="1"/>
  <c r="I24" i="1"/>
  <c r="B24" i="1"/>
  <c r="B484" i="15"/>
  <c r="B222" i="16"/>
  <c r="B475" i="16" s="1"/>
  <c r="B476" i="16" s="1"/>
  <c r="B383" i="16"/>
  <c r="B384" i="16" s="1"/>
  <c r="B208" i="16"/>
  <c r="L522" i="15"/>
  <c r="J398" i="16"/>
  <c r="J399" i="16" s="1"/>
  <c r="J223" i="16"/>
  <c r="J435" i="16" s="1"/>
  <c r="G269" i="15"/>
  <c r="G472" i="15" s="1"/>
  <c r="G530" i="15"/>
  <c r="K484" i="15"/>
  <c r="K485" i="15" s="1"/>
  <c r="K222" i="16"/>
  <c r="K475" i="16" s="1"/>
  <c r="K476" i="16" s="1"/>
  <c r="F268" i="15"/>
  <c r="F530" i="15" s="1"/>
  <c r="F207" i="16"/>
  <c r="F460" i="16" s="1"/>
  <c r="F461" i="16" s="1"/>
  <c r="I283" i="15"/>
  <c r="I538" i="15" s="1"/>
  <c r="I222" i="16"/>
  <c r="I475" i="16" s="1"/>
  <c r="I476" i="16" s="1"/>
  <c r="L369" i="16"/>
  <c r="K370" i="16"/>
  <c r="L419" i="16"/>
  <c r="C399" i="16"/>
  <c r="I383" i="16"/>
  <c r="I384" i="16" s="1"/>
  <c r="I208" i="16"/>
  <c r="I427" i="16" s="1"/>
  <c r="D398" i="16"/>
  <c r="D399" i="16" s="1"/>
  <c r="D223" i="16"/>
  <c r="D435" i="16" s="1"/>
  <c r="C269" i="15"/>
  <c r="C472" i="15" s="1"/>
  <c r="C530" i="15"/>
  <c r="J268" i="15"/>
  <c r="J530" i="15" s="1"/>
  <c r="J207" i="16"/>
  <c r="J460" i="16" s="1"/>
  <c r="J461" i="16" s="1"/>
  <c r="G498" i="15"/>
  <c r="G236" i="16"/>
  <c r="G489" i="16" s="1"/>
  <c r="G490" i="16" s="1"/>
  <c r="K383" i="16"/>
  <c r="K208" i="16"/>
  <c r="K427" i="16" s="1"/>
  <c r="E498" i="15"/>
  <c r="E236" i="16"/>
  <c r="E489" i="16" s="1"/>
  <c r="E490" i="16" s="1"/>
  <c r="E269" i="15"/>
  <c r="E472" i="15" s="1"/>
  <c r="E530" i="15"/>
  <c r="H269" i="15"/>
  <c r="H472" i="15" s="1"/>
  <c r="H530" i="15"/>
  <c r="D268" i="15"/>
  <c r="D530" i="15" s="1"/>
  <c r="D207" i="16"/>
  <c r="D460" i="16" s="1"/>
  <c r="D461" i="16" s="1"/>
  <c r="F398" i="16"/>
  <c r="F399" i="16" s="1"/>
  <c r="F223" i="16"/>
  <c r="F435" i="16" s="1"/>
  <c r="H498" i="15"/>
  <c r="H236" i="16"/>
  <c r="H489" i="16" s="1"/>
  <c r="H490" i="16" s="1"/>
  <c r="C498" i="15"/>
  <c r="C236" i="16"/>
  <c r="C489" i="16" s="1"/>
  <c r="C490" i="16" s="1"/>
  <c r="J470" i="15"/>
  <c r="J471" i="15" s="1"/>
  <c r="B283" i="15"/>
  <c r="D470" i="15"/>
  <c r="D471" i="15" s="1"/>
  <c r="I484" i="15"/>
  <c r="I485" i="15" s="1"/>
  <c r="K283" i="15"/>
  <c r="F470" i="15"/>
  <c r="F471" i="15" s="1"/>
  <c r="L510" i="15"/>
  <c r="L506" i="15"/>
  <c r="G284" i="15"/>
  <c r="C284" i="15"/>
  <c r="H284" i="15"/>
  <c r="E284" i="15"/>
  <c r="M254" i="15"/>
  <c r="L446" i="15"/>
  <c r="B268" i="15"/>
  <c r="B470" i="15"/>
  <c r="D283" i="15"/>
  <c r="D538" i="15" s="1"/>
  <c r="D484" i="15"/>
  <c r="D485" i="15" s="1"/>
  <c r="I268" i="15"/>
  <c r="I470" i="15"/>
  <c r="I471" i="15" s="1"/>
  <c r="K268" i="15"/>
  <c r="K470" i="15"/>
  <c r="K471" i="15" s="1"/>
  <c r="F283" i="15"/>
  <c r="F538" i="15" s="1"/>
  <c r="F484" i="15"/>
  <c r="F485" i="15" s="1"/>
  <c r="J283" i="15"/>
  <c r="J538" i="15" s="1"/>
  <c r="J484" i="15"/>
  <c r="J485" i="15" s="1"/>
  <c r="E297" i="15"/>
  <c r="E34" i="7" s="1"/>
  <c r="E37" i="7" s="1"/>
  <c r="E454" i="15"/>
  <c r="E455" i="15" s="1"/>
  <c r="C297" i="15"/>
  <c r="C454" i="15"/>
  <c r="C455" i="15" s="1"/>
  <c r="G297" i="15"/>
  <c r="G34" i="7" s="1"/>
  <c r="G37" i="7" s="1"/>
  <c r="G454" i="15"/>
  <c r="G455" i="15" s="1"/>
  <c r="H297" i="15"/>
  <c r="H34" i="7" s="1"/>
  <c r="H37" i="7" s="1"/>
  <c r="H454" i="15"/>
  <c r="H455" i="15" s="1"/>
  <c r="K296" i="15"/>
  <c r="B296" i="15"/>
  <c r="B236" i="16" s="1"/>
  <c r="B489" i="16" s="1"/>
  <c r="B490" i="16" s="1"/>
  <c r="F296" i="15"/>
  <c r="L254" i="15"/>
  <c r="L267" i="15"/>
  <c r="J296" i="15"/>
  <c r="I296" i="15"/>
  <c r="D296" i="15"/>
  <c r="L282" i="15"/>
  <c r="H32" i="1" a="1"/>
  <c r="C32" i="1" a="1"/>
  <c r="E32" i="1" a="1"/>
  <c r="D16" i="1" a="1"/>
  <c r="G32" i="1" a="1"/>
  <c r="C8" i="1" a="1"/>
  <c r="B16" i="1" a="1"/>
  <c r="C546" i="15" l="1"/>
  <c r="C34" i="7"/>
  <c r="C37" i="7" s="1"/>
  <c r="C8" i="1"/>
  <c r="G546" i="15"/>
  <c r="E546" i="15"/>
  <c r="H546" i="15"/>
  <c r="C32" i="1"/>
  <c r="C33" i="1" s="1"/>
  <c r="G32" i="1"/>
  <c r="G33" i="1" s="1"/>
  <c r="H32" i="1"/>
  <c r="H33" i="1" s="1"/>
  <c r="D16" i="1"/>
  <c r="D17" i="1" s="1"/>
  <c r="E32" i="1"/>
  <c r="E33" i="1" s="1"/>
  <c r="B16" i="1"/>
  <c r="B17" i="1" s="1"/>
  <c r="C499" i="15"/>
  <c r="G499" i="15"/>
  <c r="H499" i="15"/>
  <c r="B485" i="15"/>
  <c r="E499" i="15"/>
  <c r="F269" i="15"/>
  <c r="F472" i="15" s="1"/>
  <c r="I284" i="15"/>
  <c r="J269" i="15"/>
  <c r="J472" i="15" s="1"/>
  <c r="D269" i="15"/>
  <c r="D472" i="15" s="1"/>
  <c r="B427" i="16"/>
  <c r="B209" i="16"/>
  <c r="B462" i="16" s="1"/>
  <c r="B412" i="16"/>
  <c r="B413" i="16" s="1"/>
  <c r="B237" i="16"/>
  <c r="B398" i="16"/>
  <c r="B399" i="16" s="1"/>
  <c r="B223" i="16"/>
  <c r="B269" i="15"/>
  <c r="B472" i="15" s="1"/>
  <c r="B530" i="15"/>
  <c r="B284" i="15"/>
  <c r="B486" i="15" s="1"/>
  <c r="B538" i="15"/>
  <c r="F22" i="7" s="1"/>
  <c r="J383" i="16"/>
  <c r="J384" i="16" s="1"/>
  <c r="J208" i="16"/>
  <c r="J427" i="16" s="1"/>
  <c r="F383" i="16"/>
  <c r="F384" i="16" s="1"/>
  <c r="F208" i="16"/>
  <c r="F427" i="16" s="1"/>
  <c r="D383" i="16"/>
  <c r="D384" i="16" s="1"/>
  <c r="D208" i="16"/>
  <c r="D427" i="16" s="1"/>
  <c r="L207" i="16"/>
  <c r="I498" i="15"/>
  <c r="I236" i="16"/>
  <c r="I489" i="16" s="1"/>
  <c r="I490" i="16" s="1"/>
  <c r="K384" i="16"/>
  <c r="K398" i="16"/>
  <c r="K399" i="16" s="1"/>
  <c r="K223" i="16"/>
  <c r="K435" i="16" s="1"/>
  <c r="C412" i="16"/>
  <c r="C237" i="16"/>
  <c r="K284" i="15"/>
  <c r="K538" i="15"/>
  <c r="L538" i="15" s="1"/>
  <c r="G412" i="16"/>
  <c r="G413" i="16" s="1"/>
  <c r="G237" i="16"/>
  <c r="G443" i="16" s="1"/>
  <c r="H412" i="16"/>
  <c r="H413" i="16" s="1"/>
  <c r="H237" i="16"/>
  <c r="H443" i="16" s="1"/>
  <c r="K498" i="15"/>
  <c r="K236" i="16"/>
  <c r="K489" i="16" s="1"/>
  <c r="K490" i="16" s="1"/>
  <c r="K269" i="15"/>
  <c r="K472" i="15" s="1"/>
  <c r="K530" i="15"/>
  <c r="I398" i="16"/>
  <c r="I399" i="16" s="1"/>
  <c r="I223" i="16"/>
  <c r="I435" i="16" s="1"/>
  <c r="I269" i="15"/>
  <c r="I472" i="15" s="1"/>
  <c r="I530" i="15"/>
  <c r="J498" i="15"/>
  <c r="J236" i="16"/>
  <c r="J489" i="16" s="1"/>
  <c r="J490" i="16" s="1"/>
  <c r="F498" i="15"/>
  <c r="F236" i="16"/>
  <c r="F489" i="16" s="1"/>
  <c r="F490" i="16" s="1"/>
  <c r="D498" i="15"/>
  <c r="D236" i="16"/>
  <c r="D489" i="16" s="1"/>
  <c r="D490" i="16" s="1"/>
  <c r="E412" i="16"/>
  <c r="E413" i="16" s="1"/>
  <c r="E237" i="16"/>
  <c r="E443" i="16" s="1"/>
  <c r="L222" i="16"/>
  <c r="G486" i="15"/>
  <c r="J284" i="15"/>
  <c r="K486" i="15"/>
  <c r="D284" i="15"/>
  <c r="H486" i="15"/>
  <c r="C486" i="15"/>
  <c r="F284" i="15"/>
  <c r="I486" i="15"/>
  <c r="E486" i="15"/>
  <c r="E298" i="15"/>
  <c r="E500" i="15" s="1"/>
  <c r="H298" i="15"/>
  <c r="H500" i="15" s="1"/>
  <c r="C298" i="15"/>
  <c r="C500" i="15" s="1"/>
  <c r="G298" i="15"/>
  <c r="G500" i="15" s="1"/>
  <c r="B471" i="15"/>
  <c r="L283" i="15"/>
  <c r="L268" i="15"/>
  <c r="B454" i="15"/>
  <c r="B455" i="15" s="1"/>
  <c r="B498" i="15"/>
  <c r="I297" i="15"/>
  <c r="I34" i="7" s="1"/>
  <c r="I37" i="7" s="1"/>
  <c r="I454" i="15"/>
  <c r="I455" i="15" s="1"/>
  <c r="F297" i="15"/>
  <c r="F34" i="7" s="1"/>
  <c r="F37" i="7" s="1"/>
  <c r="F454" i="15"/>
  <c r="F455" i="15" s="1"/>
  <c r="J297" i="15"/>
  <c r="J34" i="7" s="1"/>
  <c r="J37" i="7" s="1"/>
  <c r="J454" i="15"/>
  <c r="J455" i="15" s="1"/>
  <c r="D297" i="15"/>
  <c r="D34" i="7" s="1"/>
  <c r="D37" i="7" s="1"/>
  <c r="D454" i="15"/>
  <c r="D455" i="15" s="1"/>
  <c r="K297" i="15"/>
  <c r="K34" i="7" s="1"/>
  <c r="K37" i="7" s="1"/>
  <c r="K454" i="15"/>
  <c r="K455" i="15" s="1"/>
  <c r="B297" i="15"/>
  <c r="B34" i="7" s="1"/>
  <c r="B37" i="7" s="1"/>
  <c r="F32" i="1" a="1"/>
  <c r="D32" i="1" a="1"/>
  <c r="J32" i="1" a="1"/>
  <c r="D19" i="1" a="1"/>
  <c r="B32" i="1" a="1"/>
  <c r="I32" i="1" a="1"/>
  <c r="B19" i="1" a="1"/>
  <c r="K32" i="1" a="1"/>
  <c r="F25" i="7" l="1"/>
  <c r="F27" i="7" s="1"/>
  <c r="B22" i="7"/>
  <c r="B25" i="7" s="1"/>
  <c r="B27" i="7" s="1"/>
  <c r="F546" i="15"/>
  <c r="I546" i="15"/>
  <c r="D546" i="15"/>
  <c r="K546" i="15"/>
  <c r="J546" i="15"/>
  <c r="F32" i="1"/>
  <c r="F33" i="1" s="1"/>
  <c r="J32" i="1"/>
  <c r="J33" i="1" s="1"/>
  <c r="K32" i="1"/>
  <c r="K33" i="1" s="1"/>
  <c r="B19" i="1"/>
  <c r="D32" i="1"/>
  <c r="D33" i="1" s="1"/>
  <c r="B32" i="1"/>
  <c r="D19" i="1"/>
  <c r="I32" i="1"/>
  <c r="I33" i="1" s="1"/>
  <c r="F499" i="15"/>
  <c r="J499" i="15"/>
  <c r="K499" i="15"/>
  <c r="D499" i="15"/>
  <c r="L514" i="15"/>
  <c r="I499" i="15"/>
  <c r="L427" i="16"/>
  <c r="B435" i="16"/>
  <c r="L435" i="16" s="1"/>
  <c r="B224" i="16"/>
  <c r="B477" i="16" s="1"/>
  <c r="B238" i="16"/>
  <c r="B491" i="16" s="1"/>
  <c r="B443" i="16"/>
  <c r="B298" i="15"/>
  <c r="B500" i="15" s="1"/>
  <c r="B546" i="15"/>
  <c r="L530" i="15"/>
  <c r="F412" i="16"/>
  <c r="F413" i="16" s="1"/>
  <c r="F237" i="16"/>
  <c r="F443" i="16" s="1"/>
  <c r="L398" i="16"/>
  <c r="J412" i="16"/>
  <c r="J413" i="16" s="1"/>
  <c r="J237" i="16"/>
  <c r="J443" i="16" s="1"/>
  <c r="K412" i="16"/>
  <c r="K413" i="16" s="1"/>
  <c r="K237" i="16"/>
  <c r="K443" i="16" s="1"/>
  <c r="C443" i="16"/>
  <c r="L383" i="16"/>
  <c r="C413" i="16"/>
  <c r="L236" i="16"/>
  <c r="I412" i="16"/>
  <c r="I413" i="16" s="1"/>
  <c r="I237" i="16"/>
  <c r="I443" i="16" s="1"/>
  <c r="D412" i="16"/>
  <c r="D413" i="16" s="1"/>
  <c r="D237" i="16"/>
  <c r="D443" i="16" s="1"/>
  <c r="F486" i="15"/>
  <c r="L512" i="15"/>
  <c r="D486" i="15"/>
  <c r="L511" i="15"/>
  <c r="J486" i="15"/>
  <c r="F298" i="15"/>
  <c r="F500" i="15" s="1"/>
  <c r="K298" i="15"/>
  <c r="K500" i="15" s="1"/>
  <c r="I298" i="15"/>
  <c r="I500" i="15" s="1"/>
  <c r="D298" i="15"/>
  <c r="D500" i="15" s="1"/>
  <c r="J298" i="15"/>
  <c r="J500" i="15" s="1"/>
  <c r="B499" i="15"/>
  <c r="L515" i="15" s="1"/>
  <c r="L454" i="15"/>
  <c r="L455" i="15" s="1"/>
  <c r="B10" i="7" s="1"/>
  <c r="C16" i="1" a="1"/>
  <c r="C19" i="1" a="1"/>
  <c r="C16" i="1" l="1"/>
  <c r="C17" i="1" s="1"/>
  <c r="L546" i="15"/>
  <c r="D22" i="7"/>
  <c r="D25" i="7" s="1"/>
  <c r="C19" i="1"/>
  <c r="L412" i="16"/>
  <c r="L413" i="16" s="1"/>
  <c r="B8" i="7" s="1"/>
  <c r="L443" i="16"/>
  <c r="L516" i="15"/>
  <c r="M516" i="15" s="1"/>
  <c r="B33" i="1"/>
  <c r="C27" i="7" l="1"/>
  <c r="D27" i="7"/>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<sst xmlns="http://schemas.openxmlformats.org/spreadsheetml/2006/main" count="1933" uniqueCount="130">
  <si>
    <t>LIMPOPO NORTH WEST</t>
  </si>
  <si>
    <t>OLIFANTS-LETABA</t>
  </si>
  <si>
    <t>INKOMATI-USUTHU</t>
  </si>
  <si>
    <t>PONGOLO-UMZIMKULU</t>
  </si>
  <si>
    <t>VAAL</t>
  </si>
  <si>
    <t>ORANGE</t>
  </si>
  <si>
    <t>MZIMVUBU-TSITSIKAMA</t>
  </si>
  <si>
    <t>BREEDE-GOURITZ</t>
  </si>
  <si>
    <t>BERG-OLIFANTS</t>
  </si>
  <si>
    <t>ALL</t>
  </si>
  <si>
    <t>Select CMA</t>
  </si>
  <si>
    <t>Disaster management</t>
  </si>
  <si>
    <t>Water use authorization</t>
  </si>
  <si>
    <t>Geo-hydrology and hydrology</t>
  </si>
  <si>
    <t>Resource directed measures</t>
  </si>
  <si>
    <t>Functional Support</t>
  </si>
  <si>
    <t>Function</t>
  </si>
  <si>
    <t>Unit basis</t>
  </si>
  <si>
    <t>Population size</t>
  </si>
  <si>
    <t>Active?</t>
  </si>
  <si>
    <t>Basis:</t>
  </si>
  <si>
    <t>Extent:</t>
  </si>
  <si>
    <t>Level of parliamentary support</t>
  </si>
  <si>
    <t>2022/23</t>
  </si>
  <si>
    <t>PUBLIC INTEREST PROPORTIONS</t>
  </si>
  <si>
    <t>NEW FUNCTION TIMING</t>
  </si>
  <si>
    <t>% public interest (upper bound)</t>
  </si>
  <si>
    <t>% public interest (lower bound)</t>
  </si>
  <si>
    <t>Average</t>
  </si>
  <si>
    <t>CMA (OLD)</t>
  </si>
  <si>
    <t>CMA (NEW)</t>
  </si>
  <si>
    <t>Inkomati-Pongola CMA</t>
  </si>
  <si>
    <t>Mzimvubu-Tsitsikamma CMA</t>
  </si>
  <si>
    <t>Vaal-Orange CMA</t>
  </si>
  <si>
    <t>Breede-Olifants CMA</t>
  </si>
  <si>
    <t>CMS &amp; water resources planning</t>
  </si>
  <si>
    <t>Institutional development</t>
  </si>
  <si>
    <t>WRM programmes</t>
  </si>
  <si>
    <t>Control and enforcement</t>
  </si>
  <si>
    <t>Initial set of functions</t>
  </si>
  <si>
    <t>Lower bound</t>
  </si>
  <si>
    <t>Upper bound</t>
  </si>
  <si>
    <t>Limpopo-Olifants CMA</t>
  </si>
  <si>
    <t>UPPER BOUND</t>
  </si>
  <si>
    <t>LOWER BOUND</t>
  </si>
  <si>
    <t>MEDIAN</t>
  </si>
  <si>
    <t>Positive error</t>
  </si>
  <si>
    <t>Negative error</t>
  </si>
  <si>
    <t>Year 1</t>
  </si>
  <si>
    <t>Year 10</t>
  </si>
  <si>
    <t>Mkuze-Mtamvuna CMA</t>
  </si>
  <si>
    <t>Total cost of function</t>
  </si>
  <si>
    <t xml:space="preserve">Subsidy </t>
  </si>
  <si>
    <t>Total subsidy</t>
  </si>
  <si>
    <t>Total</t>
  </si>
  <si>
    <t>Unit cost:</t>
  </si>
  <si>
    <t>Public interest subsidy per function (Upper bound)</t>
  </si>
  <si>
    <t>Public interest subsidy per function (Lower bound)</t>
  </si>
  <si>
    <t>Public interest subsidy per function (median)</t>
  </si>
  <si>
    <t>Unit cost (R/unit)</t>
  </si>
  <si>
    <t>Cost per function</t>
  </si>
  <si>
    <t>Total cost per function</t>
  </si>
  <si>
    <t xml:space="preserve"> </t>
  </si>
  <si>
    <t>ACTIVE YEAR</t>
  </si>
  <si>
    <t>2023</t>
  </si>
  <si>
    <t>For further information please contact Sizani Moshidi on MoshidiS@dws.gov.za</t>
  </si>
  <si>
    <t>Total subsidy required</t>
  </si>
  <si>
    <t>Subsidised proportion of CMA expenditure</t>
  </si>
  <si>
    <t>Median</t>
  </si>
  <si>
    <t>TOTAL</t>
  </si>
  <si>
    <t>Total subsidy (Lower bound)</t>
  </si>
  <si>
    <t>Total subsidy (Median)</t>
  </si>
  <si>
    <t>Total subsidy (Upper bound)</t>
  </si>
  <si>
    <t>Annual subsidy (median)</t>
  </si>
  <si>
    <t>Public interest subsidy required (median)</t>
  </si>
  <si>
    <t>Base financial year:</t>
  </si>
  <si>
    <t>Budgeted expenditure approach</t>
  </si>
  <si>
    <t>ANNUAL UNCONSTRAINED BUDGET</t>
  </si>
  <si>
    <t>2023/24 budget (Rand)</t>
  </si>
  <si>
    <t>COST PER CMA (UNIT COST APPROACH)</t>
  </si>
  <si>
    <t>SUBSIDY PER FUNCTION (UNIT COST APPROACH)</t>
  </si>
  <si>
    <t>TOTAL COST (UNIT COST APPROACH)</t>
  </si>
  <si>
    <t>PUBLIC INTEREST SUBSIDY ACTIVE CMA (UNIT COST APPROACH)</t>
  </si>
  <si>
    <t>TOTAL SUBSIDY PROPORTION (UNIT COST APPROACH)</t>
  </si>
  <si>
    <t>Unit cost approach</t>
  </si>
  <si>
    <t>Minimum cost approach</t>
  </si>
  <si>
    <t>Median public interest subsidy</t>
  </si>
  <si>
    <t>ACTIVE CMA</t>
  </si>
  <si>
    <t>Upper bound public interest subsidy</t>
  </si>
  <si>
    <t>Lower bound public interest subsidy</t>
  </si>
  <si>
    <t>PUBLIC INTEREST SUBSIDY SUMMARY</t>
  </si>
  <si>
    <t>TOTAL COST SUMMARY</t>
  </si>
  <si>
    <t>Cost of performing function</t>
  </si>
  <si>
    <t>MINIMUM COST APPROACH</t>
  </si>
  <si>
    <t>Public interest subsidy per function (Median)</t>
  </si>
  <si>
    <t>TOTALS</t>
  </si>
  <si>
    <t>Subsidised proportion of CMA expenditure (2023)</t>
  </si>
  <si>
    <t xml:space="preserve">These engine sheets are followed by a sheet for each of the 6 proposed CMAs which calculates the unit cost for each of the CMAs. </t>
  </si>
  <si>
    <r>
      <rPr>
        <b/>
        <u/>
        <sz val="11"/>
        <color theme="1"/>
        <rFont val="Calibri"/>
        <family val="2"/>
        <scheme val="minor"/>
      </rPr>
      <t>LIST OF TABS</t>
    </r>
    <r>
      <rPr>
        <sz val="11"/>
        <color theme="1"/>
        <rFont val="Calibri"/>
        <family val="2"/>
        <scheme val="minor"/>
      </rPr>
      <t xml:space="preserve">
The model has two dashboards, two data inputs tabs and a set of engine tabs.</t>
    </r>
  </si>
  <si>
    <r>
      <rPr>
        <b/>
        <sz val="11"/>
        <color theme="1"/>
        <rFont val="Calibri"/>
        <family val="2"/>
        <scheme val="minor"/>
      </rPr>
      <t xml:space="preserve">Summary dashboard: </t>
    </r>
    <r>
      <rPr>
        <sz val="11"/>
        <color theme="1"/>
        <rFont val="Calibri"/>
        <family val="2"/>
        <scheme val="minor"/>
      </rPr>
      <t xml:space="preserve">This dashboard indicates the overall public interest subsidy required for the CMAs. There are two important user choices on this sheet; the level of parliamentary support and the costing approach used. </t>
    </r>
  </si>
  <si>
    <r>
      <rPr>
        <b/>
        <sz val="11"/>
        <color theme="1"/>
        <rFont val="Calibri"/>
        <family val="2"/>
        <scheme val="minor"/>
      </rPr>
      <t>CMA dashboard:</t>
    </r>
    <r>
      <rPr>
        <sz val="11"/>
        <color theme="1"/>
        <rFont val="Calibri"/>
        <family val="2"/>
        <scheme val="minor"/>
      </rPr>
      <t xml:space="preserve"> This dashboard allows the user to see the public interest subsidy for each of the CMAs, and for each of the function that the CMA performs. The CMA can be selected from the dropdown list at the top of the page. </t>
    </r>
  </si>
  <si>
    <r>
      <rPr>
        <b/>
        <sz val="11"/>
        <color theme="1"/>
        <rFont val="Calibri"/>
        <family val="2"/>
        <scheme val="minor"/>
      </rPr>
      <t>Data inputs:</t>
    </r>
    <r>
      <rPr>
        <sz val="11"/>
        <color theme="1"/>
        <rFont val="Calibri"/>
        <family val="2"/>
        <scheme val="minor"/>
      </rPr>
      <t xml:space="preserve"> This sheet is where the data is inserted by the model user. </t>
    </r>
  </si>
  <si>
    <r>
      <rPr>
        <b/>
        <sz val="11"/>
        <color theme="1"/>
        <rFont val="Calibri"/>
        <family val="2"/>
        <scheme val="minor"/>
      </rPr>
      <t xml:space="preserve">CMA function inputs: </t>
    </r>
    <r>
      <rPr>
        <sz val="11"/>
        <color theme="1"/>
        <rFont val="Calibri"/>
        <family val="2"/>
        <scheme val="minor"/>
      </rPr>
      <t xml:space="preserve">This sheet is where the unit costing information and the functional arrangements of the CMAs are entered. </t>
    </r>
  </si>
  <si>
    <r>
      <rPr>
        <b/>
        <sz val="11"/>
        <color theme="1"/>
        <rFont val="Calibri"/>
        <family val="2"/>
        <scheme val="minor"/>
      </rPr>
      <t xml:space="preserve">E_mincost: </t>
    </r>
    <r>
      <rPr>
        <sz val="11"/>
        <color theme="1"/>
        <rFont val="Calibri"/>
        <family val="2"/>
        <scheme val="minor"/>
      </rPr>
      <t xml:space="preserve">This engine sheet is where the calculations for the Minimum Cost Approach are made. </t>
    </r>
  </si>
  <si>
    <r>
      <rPr>
        <b/>
        <sz val="11"/>
        <color theme="1"/>
        <rFont val="Calibri"/>
        <family val="2"/>
        <scheme val="minor"/>
      </rPr>
      <t xml:space="preserve">E_unitcost: </t>
    </r>
    <r>
      <rPr>
        <sz val="11"/>
        <color theme="1"/>
        <rFont val="Calibri"/>
        <family val="2"/>
        <scheme val="minor"/>
      </rPr>
      <t xml:space="preserve">This engine sheet is where the calculations for the Unit Costing Approach are made. </t>
    </r>
  </si>
  <si>
    <r>
      <rPr>
        <b/>
        <u/>
        <sz val="11"/>
        <color theme="1"/>
        <rFont val="Calibri"/>
        <family val="2"/>
        <scheme val="minor"/>
      </rPr>
      <t>USER INTERFACE</t>
    </r>
    <r>
      <rPr>
        <sz val="11"/>
        <color theme="1"/>
        <rFont val="Calibri"/>
        <family val="2"/>
        <scheme val="minor"/>
      </rPr>
      <t xml:space="preserve">
The model uses two different coloured cells to differentiate between user input cells are data input cells. </t>
    </r>
  </si>
  <si>
    <t xml:space="preserve">Yellow cells are data input cells. </t>
  </si>
  <si>
    <t>Peach coloured cells are user input cells.</t>
  </si>
  <si>
    <t>The model was developed by PDG. PDG accepts no liability for any decision made based on the outputs of the model. For more information contact Kim Walsh on kim@pdg.co.za</t>
  </si>
  <si>
    <t>No basis for unit cost</t>
  </si>
  <si>
    <t>Annual subsidy</t>
  </si>
  <si>
    <t>Year presented in table below</t>
  </si>
  <si>
    <t>*Unit costs do not exist</t>
  </si>
  <si>
    <t>Area</t>
  </si>
  <si>
    <t>Registered volume</t>
  </si>
  <si>
    <t xml:space="preserve">Values in the cells data input and user input cells should be entered by the user based on available data. The default data in these cells are the best data available as of March 2022. </t>
  </si>
  <si>
    <r>
      <rPr>
        <b/>
        <sz val="11"/>
        <color theme="1"/>
        <rFont val="Calibri"/>
        <family val="2"/>
        <scheme val="minor"/>
      </rPr>
      <t xml:space="preserve">E_budgeted: </t>
    </r>
    <r>
      <rPr>
        <sz val="11"/>
        <color theme="1"/>
        <rFont val="Calibri"/>
        <family val="2"/>
        <scheme val="minor"/>
      </rPr>
      <t>This engine sheet is where the calculations for the Budgeted Expenditure Approach are made.</t>
    </r>
  </si>
  <si>
    <t xml:space="preserve">A more comprehensive user guideline is available in the report which accompanies the model. </t>
  </si>
  <si>
    <r>
      <rPr>
        <b/>
        <u/>
        <sz val="11"/>
        <color theme="1"/>
        <rFont val="Calibri"/>
        <family val="2"/>
        <scheme val="minor"/>
      </rPr>
      <t>DESCRIPTION</t>
    </r>
    <r>
      <rPr>
        <sz val="11"/>
        <color theme="1"/>
        <rFont val="Calibri"/>
        <family val="2"/>
        <scheme val="minor"/>
      </rPr>
      <t xml:space="preserve">
This model was developed by PDG in January 2022 for the Water Research Commission (WRC) and the Department of Water and Sanitation (DWS) to assist with the costing of the public interest functions of Catchment Management Agencies. The research was funded by the WRC. </t>
    </r>
  </si>
  <si>
    <t xml:space="preserve">Selected costing approach </t>
  </si>
  <si>
    <t xml:space="preserve">PHYSICAL PROPERTIES OF CMAs </t>
  </si>
  <si>
    <t xml:space="preserve">UNIT COSTS AND BASIS FOR UNIT COSTS </t>
  </si>
  <si>
    <t xml:space="preserve">Select the modelled costing approach </t>
  </si>
  <si>
    <t>UNCONSTRAINED BUDGET APPROACH</t>
  </si>
  <si>
    <t>Water weed control</t>
  </si>
  <si>
    <t>Maintenance and restoration of ecosystems</t>
  </si>
  <si>
    <t>Public interest subsidy per CMA (Upper bound)</t>
  </si>
  <si>
    <t>Public interest subsidy per CMA (Lower bound)</t>
  </si>
  <si>
    <t>Cost per CMA</t>
  </si>
  <si>
    <t>Public interest subsidy CMA (Median)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</si>
</sst>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R&quot;* #,##0.00_-;\-&quot;R&quot;* #,##0.00_-;_-&quot;R&quot;* &quot;-&quot;??_-;_-@_-"/>
    <numFmt numFmtId="43" formatCode="_-* #,##0.00_-;\-* #,##0.00_-;_-* &quot;-&quot;??_-;_-@_-"/>
    <numFmt numFmtId="164" formatCode="_-&quot;R&quot;* #,##0_-;\-&quot;R&quot;* #,##0_-;_-&quot;R&quot;* &quot;-&quot;??_-;_-@_-"/>
    <numFmt numFmtId="165" formatCode="_-* #,##0_-;\-* #,##0_-;_-* &quot;-&quot;??_-;_-@_-"/>
    <numFmt numFmtId="166" formatCode="_-&quot;R&quot;* #,##0.000_-;\-&quot;R&quot;* #,##0.000_-;_-&quot;R&quot;* &quot;-&quot;??_-;_-@_-"/>
    <numFmt numFmtId="167" formatCode="_-&quot;R&quot;* #,##0.0000_-;\-&quot;R&quot;* #,##0.0000_-;_-&quot;R&quot;* &quot;-&quot;??_-;_-@_-"/>
  </numFmts>
  <fonts count="7"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1"/>
      <color indexed="8"/>
      <name val="Calibri"/>
      <family val="2"/>
      <scheme val="minor"/>
    </font>
    <font>
      <b/>
      <u/>
      <sz val="11"/>
      <color theme="1"/>
      <name val="Calibri"/>
      <family val="2"/>
      <scheme val="minor"/>
    </font>
    <font>
      <sz val="11"/>
      <color theme="8" tint="0.59999389629810485"/>
      <name val="Calibri"/>
      <family val="2"/>
      <scheme val="minor"/>
    </font>
  </fonts>
  <fills count="12">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5"/>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5" tint="0.399975585192419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122">
    <xf numFmtId="0" fontId="0" fillId="0" borderId="0" xfId="0"/>
    <xf numFmtId="0" fontId="3" fillId="0" borderId="0" xfId="0" applyFont="1"/>
    <xf numFmtId="0" fontId="3" fillId="2" borderId="0" xfId="0" applyFont="1" applyFill="1"/>
    <xf numFmtId="0" fontId="0" fillId="2" borderId="0" xfId="0" applyFill="1"/>
    <xf numFmtId="0" fontId="0" fillId="0" borderId="0" xfId="0" applyAlignment="1">
      <alignment wrapText="1"/>
    </xf>
    <xf numFmtId="164" fontId="0" fillId="0" borderId="0" xfId="2" applyNumberFormat="1" applyFont="1"/>
    <xf numFmtId="9" fontId="0" fillId="0" borderId="0" xfId="0" applyNumberFormat="1"/>
    <xf numFmtId="9" fontId="0" fillId="4" borderId="0" xfId="0" applyNumberFormat="1" applyFill="1"/>
    <xf numFmtId="165" fontId="0" fillId="4" borderId="0" xfId="1" applyNumberFormat="1" applyFont="1" applyFill="1"/>
    <xf numFmtId="164" fontId="0" fillId="4" borderId="0" xfId="2" applyNumberFormat="1" applyFont="1" applyFill="1"/>
    <xf numFmtId="165" fontId="0" fillId="3" borderId="1" xfId="1" applyNumberFormat="1" applyFont="1" applyFill="1" applyBorder="1"/>
    <xf numFmtId="165" fontId="0" fillId="3" borderId="1" xfId="0" applyNumberFormat="1" applyFill="1" applyBorder="1"/>
    <xf numFmtId="0" fontId="3" fillId="0" borderId="0" xfId="0" applyFont="1" applyAlignment="1">
      <alignment horizontal="center"/>
    </xf>
    <xf numFmtId="164" fontId="0" fillId="0" borderId="2" xfId="2" applyNumberFormat="1" applyFont="1" applyBorder="1"/>
    <xf numFmtId="164" fontId="0" fillId="0" borderId="0" xfId="0" applyNumberFormat="1"/>
    <xf numFmtId="0" fontId="3" fillId="0" borderId="0" xfId="0" applyFont="1" applyAlignment="1">
      <alignment wrapText="1"/>
    </xf>
    <xf numFmtId="9" fontId="0" fillId="0" borderId="0" xfId="3" applyFont="1"/>
    <xf numFmtId="164" fontId="3" fillId="0" borderId="0" xfId="2" applyNumberFormat="1" applyFont="1" applyAlignment="1">
      <alignment wrapText="1"/>
    </xf>
    <xf numFmtId="164" fontId="3" fillId="0" borderId="0" xfId="2" applyNumberFormat="1" applyFont="1" applyAlignment="1">
      <alignment horizontal="center"/>
    </xf>
    <xf numFmtId="164" fontId="3" fillId="0" borderId="0" xfId="2" applyNumberFormat="1" applyFont="1"/>
    <xf numFmtId="164" fontId="0" fillId="0" borderId="0" xfId="2" applyNumberFormat="1" applyFont="1" applyAlignment="1">
      <alignment wrapText="1"/>
    </xf>
    <xf numFmtId="0" fontId="4" fillId="0" borderId="0" xfId="0" applyFont="1"/>
    <xf numFmtId="166" fontId="0" fillId="4" borderId="0" xfId="2" applyNumberFormat="1" applyFont="1" applyFill="1"/>
    <xf numFmtId="0" fontId="0" fillId="5" borderId="0" xfId="0" applyFill="1"/>
    <xf numFmtId="0" fontId="2" fillId="5" borderId="0" xfId="0" applyFont="1" applyFill="1"/>
    <xf numFmtId="164" fontId="0" fillId="5" borderId="0" xfId="0" applyNumberFormat="1" applyFill="1" applyAlignment="1">
      <alignment horizontal="center"/>
    </xf>
    <xf numFmtId="164" fontId="0" fillId="5" borderId="0" xfId="2" applyNumberFormat="1" applyFont="1" applyFill="1"/>
    <xf numFmtId="164" fontId="0" fillId="5" borderId="0" xfId="0" applyNumberFormat="1" applyFill="1"/>
    <xf numFmtId="0" fontId="0" fillId="5" borderId="0" xfId="0" applyFill="1" applyAlignment="1">
      <alignment horizontal="center"/>
    </xf>
    <xf numFmtId="164" fontId="0" fillId="8" borderId="1" xfId="2" applyNumberFormat="1" applyFont="1" applyFill="1" applyBorder="1"/>
    <xf numFmtId="0" fontId="3" fillId="8" borderId="1" xfId="0" applyFont="1" applyFill="1" applyBorder="1" applyAlignment="1">
      <alignment horizontal="center" wrapText="1"/>
    </xf>
    <xf numFmtId="0" fontId="3" fillId="8" borderId="1" xfId="0" applyFont="1" applyFill="1" applyBorder="1"/>
    <xf numFmtId="164" fontId="0" fillId="0" borderId="0" xfId="2" applyNumberFormat="1" applyFont="1" applyBorder="1"/>
    <xf numFmtId="0" fontId="3" fillId="5" borderId="0" xfId="0" applyFont="1" applyFill="1"/>
    <xf numFmtId="0" fontId="3" fillId="5" borderId="0" xfId="0" applyFont="1" applyFill="1" applyAlignment="1">
      <alignment horizontal="center"/>
    </xf>
    <xf numFmtId="165" fontId="0" fillId="3" borderId="4" xfId="1" applyNumberFormat="1" applyFont="1" applyFill="1" applyBorder="1"/>
    <xf numFmtId="165" fontId="0" fillId="3" borderId="5" xfId="1" applyNumberFormat="1" applyFont="1" applyFill="1" applyBorder="1"/>
    <xf numFmtId="165" fontId="0" fillId="3" borderId="6" xfId="1" applyNumberFormat="1" applyFont="1" applyFill="1" applyBorder="1"/>
    <xf numFmtId="165" fontId="0" fillId="3" borderId="6" xfId="0" applyNumberFormat="1" applyFill="1" applyBorder="1"/>
    <xf numFmtId="0" fontId="3" fillId="8" borderId="1" xfId="0" applyFont="1" applyFill="1" applyBorder="1" applyAlignment="1">
      <alignment wrapText="1"/>
    </xf>
    <xf numFmtId="0" fontId="3" fillId="9" borderId="0" xfId="0" applyFont="1" applyFill="1"/>
    <xf numFmtId="0" fontId="0" fillId="9" borderId="0" xfId="0" applyFill="1"/>
    <xf numFmtId="0" fontId="0" fillId="9" borderId="0" xfId="0" applyFill="1" applyAlignment="1">
      <alignment wrapText="1"/>
    </xf>
    <xf numFmtId="0" fontId="3" fillId="4" borderId="0" xfId="0" applyNumberFormat="1" applyFont="1" applyFill="1" applyAlignment="1">
      <alignment horizontal="center"/>
    </xf>
    <xf numFmtId="0" fontId="4" fillId="4" borderId="0" xfId="0" applyNumberFormat="1" applyFont="1" applyFill="1" applyAlignment="1">
      <alignment horizontal="center"/>
    </xf>
    <xf numFmtId="0" fontId="0" fillId="3" borderId="1" xfId="0" applyFill="1" applyBorder="1" applyAlignment="1">
      <alignment horizontal="left" wrapText="1"/>
    </xf>
    <xf numFmtId="0" fontId="0" fillId="5" borderId="0" xfId="0" applyFill="1" applyAlignment="1">
      <alignment horizontal="left"/>
    </xf>
    <xf numFmtId="164" fontId="0" fillId="8" borderId="1" xfId="2" applyNumberFormat="1" applyFont="1" applyFill="1" applyBorder="1" applyAlignment="1">
      <alignment horizontal="center"/>
    </xf>
    <xf numFmtId="0" fontId="3" fillId="0" borderId="0" xfId="2" applyNumberFormat="1" applyFont="1" applyAlignment="1">
      <alignment horizontal="center"/>
    </xf>
    <xf numFmtId="0" fontId="3" fillId="0" borderId="0" xfId="0" applyNumberFormat="1" applyFont="1" applyAlignment="1">
      <alignment horizontal="center"/>
    </xf>
    <xf numFmtId="0" fontId="6" fillId="5" borderId="0" xfId="0" applyFont="1" applyFill="1"/>
    <xf numFmtId="164" fontId="3" fillId="8" borderId="1" xfId="2" applyNumberFormat="1" applyFont="1" applyFill="1" applyBorder="1" applyAlignment="1">
      <alignment horizontal="center"/>
    </xf>
    <xf numFmtId="0" fontId="3" fillId="8" borderId="1" xfId="0" applyFont="1" applyFill="1" applyBorder="1" applyAlignment="1">
      <alignment horizontal="right" wrapText="1"/>
    </xf>
    <xf numFmtId="164" fontId="3" fillId="8" borderId="1" xfId="2" applyNumberFormat="1" applyFont="1" applyFill="1" applyBorder="1"/>
    <xf numFmtId="0" fontId="2" fillId="5" borderId="0" xfId="0" applyFont="1" applyFill="1" applyAlignment="1">
      <alignment horizontal="right"/>
    </xf>
    <xf numFmtId="0" fontId="0" fillId="8" borderId="1" xfId="0" applyFont="1" applyFill="1" applyBorder="1" applyAlignment="1">
      <alignment wrapText="1"/>
    </xf>
    <xf numFmtId="164" fontId="0" fillId="3" borderId="5" xfId="2" applyNumberFormat="1" applyFont="1" applyFill="1" applyBorder="1"/>
    <xf numFmtId="164" fontId="0" fillId="3" borderId="4" xfId="2" applyNumberFormat="1" applyFont="1" applyFill="1" applyBorder="1"/>
    <xf numFmtId="0" fontId="3" fillId="5" borderId="0" xfId="0" applyFont="1" applyFill="1" applyAlignment="1">
      <alignment horizontal="right" vertical="center"/>
    </xf>
    <xf numFmtId="0" fontId="3" fillId="0" borderId="0" xfId="0" applyFont="1" applyAlignment="1"/>
    <xf numFmtId="164" fontId="0" fillId="0" borderId="2" xfId="0" applyNumberFormat="1" applyBorder="1"/>
    <xf numFmtId="164" fontId="3" fillId="0" borderId="0" xfId="2" applyNumberFormat="1" applyFont="1" applyAlignment="1"/>
    <xf numFmtId="164" fontId="2" fillId="0" borderId="0" xfId="0" applyNumberFormat="1" applyFont="1"/>
    <xf numFmtId="0" fontId="3" fillId="0" borderId="0" xfId="0" applyNumberFormat="1" applyFont="1" applyFill="1" applyAlignment="1">
      <alignment horizontal="center"/>
    </xf>
    <xf numFmtId="0" fontId="3" fillId="5" borderId="1" xfId="0" applyNumberFormat="1" applyFont="1" applyFill="1" applyBorder="1" applyAlignment="1">
      <alignment horizontal="center"/>
    </xf>
    <xf numFmtId="164" fontId="3" fillId="8" borderId="1" xfId="2" applyNumberFormat="1" applyFont="1" applyFill="1" applyBorder="1" applyAlignment="1">
      <alignment horizontal="center"/>
    </xf>
    <xf numFmtId="0" fontId="3" fillId="8" borderId="1" xfId="0" applyFont="1" applyFill="1" applyBorder="1" applyAlignment="1">
      <alignment horizontal="center" wrapText="1"/>
    </xf>
    <xf numFmtId="0" fontId="3" fillId="7" borderId="1" xfId="0" applyFont="1" applyFill="1" applyBorder="1" applyAlignment="1">
      <alignment horizontal="center" wrapText="1"/>
    </xf>
    <xf numFmtId="164" fontId="3" fillId="8" borderId="1" xfId="2" applyNumberFormat="1" applyFont="1" applyFill="1" applyBorder="1" applyAlignment="1"/>
    <xf numFmtId="0" fontId="3" fillId="8" borderId="1" xfId="0" applyFont="1" applyFill="1" applyBorder="1" applyAlignment="1">
      <alignment horizontal="right"/>
    </xf>
    <xf numFmtId="0" fontId="4" fillId="0" borderId="0" xfId="0" applyFont="1" applyAlignment="1">
      <alignment wrapText="1"/>
    </xf>
    <xf numFmtId="9" fontId="3" fillId="8" borderId="1" xfId="3" applyFont="1" applyFill="1" applyBorder="1" applyAlignment="1">
      <alignment horizontal="center" vertical="center"/>
    </xf>
    <xf numFmtId="0" fontId="0" fillId="8" borderId="9" xfId="0" applyFill="1" applyBorder="1" applyAlignment="1">
      <alignment horizontal="left" wrapText="1"/>
    </xf>
    <xf numFmtId="0" fontId="0" fillId="8" borderId="10" xfId="0" applyFill="1" applyBorder="1" applyAlignment="1">
      <alignment horizontal="left" wrapText="1"/>
    </xf>
    <xf numFmtId="0" fontId="0" fillId="10" borderId="1" xfId="0" applyFill="1" applyBorder="1" applyAlignment="1">
      <alignment horizontal="center"/>
    </xf>
    <xf numFmtId="9" fontId="0" fillId="10" borderId="4" xfId="3" applyFont="1" applyFill="1" applyBorder="1" applyAlignment="1">
      <alignment horizontal="center"/>
    </xf>
    <xf numFmtId="9" fontId="0" fillId="10" borderId="1" xfId="3" applyFont="1" applyFill="1" applyBorder="1" applyAlignment="1">
      <alignment horizontal="center"/>
    </xf>
    <xf numFmtId="0" fontId="0" fillId="10" borderId="4" xfId="0" applyFill="1" applyBorder="1" applyAlignment="1">
      <alignment horizontal="center"/>
    </xf>
    <xf numFmtId="0" fontId="3" fillId="0" borderId="1" xfId="0" applyFont="1" applyBorder="1" applyAlignment="1">
      <alignment wrapText="1"/>
    </xf>
    <xf numFmtId="0" fontId="3" fillId="0" borderId="1" xfId="0" applyFont="1" applyBorder="1"/>
    <xf numFmtId="0" fontId="3" fillId="0" borderId="3" xfId="0" applyFont="1" applyBorder="1"/>
    <xf numFmtId="166" fontId="0" fillId="6" borderId="0" xfId="2" applyNumberFormat="1" applyFont="1" applyFill="1" applyAlignment="1"/>
    <xf numFmtId="164" fontId="0" fillId="6" borderId="0" xfId="2" applyNumberFormat="1" applyFont="1" applyFill="1" applyAlignment="1"/>
    <xf numFmtId="0" fontId="2" fillId="0" borderId="0" xfId="0" applyFont="1"/>
    <xf numFmtId="164" fontId="3" fillId="8" borderId="1" xfId="2" applyNumberFormat="1" applyFont="1" applyFill="1" applyBorder="1" applyAlignment="1">
      <alignment horizontal="center" wrapText="1"/>
    </xf>
    <xf numFmtId="0" fontId="3" fillId="8" borderId="1" xfId="0" applyFont="1" applyFill="1" applyBorder="1" applyAlignment="1">
      <alignment horizontal="center" vertical="center" wrapText="1"/>
    </xf>
    <xf numFmtId="0" fontId="3" fillId="8" borderId="1" xfId="0" applyFont="1" applyFill="1" applyBorder="1" applyAlignment="1">
      <alignment horizontal="center" vertical="center"/>
    </xf>
    <xf numFmtId="0" fontId="3" fillId="8" borderId="1" xfId="0" applyFont="1" applyFill="1" applyBorder="1" applyAlignment="1">
      <alignment horizontal="right" vertical="center" wrapText="1"/>
    </xf>
    <xf numFmtId="0" fontId="0" fillId="5" borderId="0" xfId="0" applyFill="1" applyAlignment="1">
      <alignment vertical="center"/>
    </xf>
    <xf numFmtId="0" fontId="3" fillId="8" borderId="1" xfId="0" applyFont="1" applyFill="1" applyBorder="1" applyAlignment="1">
      <alignment vertical="center"/>
    </xf>
    <xf numFmtId="9" fontId="0" fillId="5" borderId="0" xfId="0" applyNumberFormat="1" applyFill="1"/>
    <xf numFmtId="9" fontId="0" fillId="5" borderId="0" xfId="3" applyFont="1" applyFill="1"/>
    <xf numFmtId="0" fontId="0" fillId="8" borderId="9" xfId="0" applyFill="1" applyBorder="1" applyAlignment="1">
      <alignment horizontal="left" wrapText="1"/>
    </xf>
    <xf numFmtId="0" fontId="0" fillId="8" borderId="10" xfId="0" applyFill="1" applyBorder="1" applyAlignment="1">
      <alignment horizontal="left" wrapText="1"/>
    </xf>
    <xf numFmtId="9" fontId="0" fillId="10" borderId="4" xfId="3" applyFont="1" applyFill="1" applyBorder="1" applyAlignment="1">
      <alignment horizontal="center" vertical="center"/>
    </xf>
    <xf numFmtId="9" fontId="0" fillId="10" borderId="1" xfId="3" applyFont="1" applyFill="1" applyBorder="1" applyAlignment="1">
      <alignment horizontal="center" vertical="center"/>
    </xf>
    <xf numFmtId="167" fontId="0" fillId="10" borderId="1" xfId="2" applyNumberFormat="1" applyFont="1" applyFill="1" applyBorder="1"/>
    <xf numFmtId="0" fontId="0" fillId="10" borderId="1" xfId="0" applyFill="1" applyBorder="1"/>
    <xf numFmtId="0" fontId="0" fillId="8" borderId="7" xfId="0" applyFill="1" applyBorder="1" applyAlignment="1">
      <alignment horizontal="left" wrapText="1"/>
    </xf>
    <xf numFmtId="0" fontId="0" fillId="8" borderId="8" xfId="0" applyFill="1" applyBorder="1" applyAlignment="1">
      <alignment horizontal="left" wrapText="1"/>
    </xf>
    <xf numFmtId="0" fontId="0" fillId="8" borderId="9" xfId="0" applyFill="1" applyBorder="1" applyAlignment="1">
      <alignment horizontal="left" wrapText="1"/>
    </xf>
    <xf numFmtId="0" fontId="0" fillId="8" borderId="10" xfId="0" applyFill="1" applyBorder="1" applyAlignment="1">
      <alignment horizontal="left" wrapText="1"/>
    </xf>
    <xf numFmtId="0" fontId="0" fillId="8" borderId="11" xfId="0" applyFill="1" applyBorder="1" applyAlignment="1">
      <alignment horizontal="left" wrapText="1"/>
    </xf>
    <xf numFmtId="0" fontId="0" fillId="8" borderId="5" xfId="0" applyFill="1" applyBorder="1" applyAlignment="1">
      <alignment horizontal="left" wrapText="1"/>
    </xf>
    <xf numFmtId="164" fontId="0" fillId="8" borderId="1" xfId="2" applyNumberFormat="1" applyFont="1" applyFill="1" applyBorder="1" applyAlignment="1">
      <alignment horizontal="left"/>
    </xf>
    <xf numFmtId="164" fontId="3" fillId="8" borderId="1" xfId="2" applyNumberFormat="1" applyFont="1" applyFill="1" applyBorder="1" applyAlignment="1">
      <alignment horizontal="center"/>
    </xf>
    <xf numFmtId="9" fontId="3" fillId="8" borderId="3" xfId="3" applyFont="1" applyFill="1" applyBorder="1" applyAlignment="1">
      <alignment horizontal="center"/>
    </xf>
    <xf numFmtId="9" fontId="3" fillId="8" borderId="4" xfId="3" applyFont="1" applyFill="1" applyBorder="1" applyAlignment="1">
      <alignment horizontal="center"/>
    </xf>
    <xf numFmtId="0" fontId="3" fillId="8" borderId="1" xfId="0" applyFont="1" applyFill="1" applyBorder="1" applyAlignment="1">
      <alignment horizontal="center" wrapText="1"/>
    </xf>
    <xf numFmtId="165" fontId="0" fillId="10" borderId="1" xfId="1" applyNumberFormat="1" applyFont="1" applyFill="1" applyBorder="1" applyAlignment="1">
      <alignment horizontal="center"/>
    </xf>
    <xf numFmtId="165" fontId="0" fillId="7" borderId="3" xfId="1" applyNumberFormat="1" applyFont="1" applyFill="1" applyBorder="1" applyAlignment="1">
      <alignment horizontal="center"/>
    </xf>
    <xf numFmtId="165" fontId="0" fillId="7" borderId="12" xfId="1" applyNumberFormat="1" applyFont="1" applyFill="1" applyBorder="1" applyAlignment="1">
      <alignment horizontal="center"/>
    </xf>
    <xf numFmtId="165" fontId="0" fillId="7" borderId="4" xfId="1" applyNumberFormat="1" applyFont="1" applyFill="1" applyBorder="1" applyAlignment="1">
      <alignment horizontal="center"/>
    </xf>
    <xf numFmtId="0" fontId="3" fillId="8" borderId="1" xfId="0" applyFont="1" applyFill="1" applyBorder="1" applyAlignment="1">
      <alignment horizontal="center" vertical="center" wrapText="1"/>
    </xf>
    <xf numFmtId="0" fontId="0" fillId="10" borderId="3" xfId="0" applyFill="1" applyBorder="1" applyAlignment="1">
      <alignment horizontal="center" wrapText="1"/>
    </xf>
    <xf numFmtId="0" fontId="0" fillId="10" borderId="12" xfId="0" applyFill="1" applyBorder="1" applyAlignment="1">
      <alignment horizontal="center" wrapText="1"/>
    </xf>
    <xf numFmtId="0" fontId="0" fillId="10" borderId="4" xfId="0" applyFill="1" applyBorder="1" applyAlignment="1">
      <alignment horizontal="center" wrapText="1"/>
    </xf>
    <xf numFmtId="44" fontId="3" fillId="11" borderId="3" xfId="2" applyFont="1" applyFill="1" applyBorder="1" applyAlignment="1">
      <alignment horizontal="center"/>
    </xf>
    <xf numFmtId="44" fontId="3" fillId="11" borderId="4" xfId="2" applyFont="1" applyFill="1" applyBorder="1" applyAlignment="1">
      <alignment horizontal="center"/>
    </xf>
    <xf numFmtId="164" fontId="3" fillId="0" borderId="0" xfId="0" applyNumberFormat="1" applyFont="1"/>
    <xf numFmtId="164" fontId="0" fillId="0" borderId="0" xfId="0" applyNumberFormat="1" applyBorder="1"/>
    <xf numFmtId="0" fontId="3" fillId="5" borderId="1" xfId="0" applyFont="1" applyFill="1" applyBorder="1"/>
  </cellXfs>
  <cellStyles count="4">
    <cellStyle name="Comma" xfId="1" builtinId="3"/>
    <cellStyle name="Currency" xfId="2" builtinId="4"/>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'Summary dashboard'!$D$18</c:f>
          <c:strCache>
            <c:ptCount val="1"/>
            <c:pt idx="0">
              <c:v>Public interest funding required (Median) (2023)</c:v>
            </c:pt>
          </c:strCache>
        </c:strRef>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3130402560769663"/>
          <c:y val="0.1956391462683815"/>
          <c:w val="0.82381042680623129"/>
          <c:h val="0.32488360100191543"/>
        </c:manualLayout>
      </c:layout>
      <c:barChart>
        <c:barDir val="col"/>
        <c:grouping val="clustered"/>
        <c:varyColors val="0"/>
        <c:ser>
          <c:idx val="1"/>
          <c:order val="0"/>
          <c:tx>
            <c:strRef>
              <c:f>'Summary dashboard'!$D$18</c:f>
              <c:strCache>
                <c:ptCount val="1"/>
                <c:pt idx="0">
                  <c:v>Public interest funding required (Median) (2023)</c:v>
                </c:pt>
              </c:strCache>
            </c:strRef>
          </c:tx>
          <c:spPr>
            <a:solidFill>
              <a:schemeClr val="accent2"/>
            </a:solidFill>
            <a:ln>
              <a:noFill/>
            </a:ln>
            <a:effectLst/>
          </c:spPr>
          <c:invertIfNegative val="0"/>
          <c:errBars>
            <c:errBarType val="both"/>
            <c:errValType val="cust"/>
            <c:noEndCap val="0"/>
            <c:plus>
              <c:numRef>
                <c:f>E_unitcost!$N$19:$N$24</c:f>
                <c:numCache>
                  <c:formatCode>General</c:formatCode>
                  <c:ptCount val="6"/>
                  <c:pt idx="0">
                    <c:v>11952528.827217765</c:v>
                  </c:pt>
                  <c:pt idx="1">
                    <c:v>7414235.9959545657</c:v>
                  </c:pt>
                  <c:pt idx="2">
                    <c:v>8735446.9822023436</c:v>
                  </c:pt>
                  <c:pt idx="3">
                    <c:v>27378996.141893253</c:v>
                  </c:pt>
                  <c:pt idx="4">
                    <c:v>6369941.1132669412</c:v>
                  </c:pt>
                  <c:pt idx="5">
                    <c:v>9649886.8712513447</c:v>
                  </c:pt>
                </c:numCache>
              </c:numRef>
            </c:plus>
            <c:minus>
              <c:numRef>
                <c:f>E_unitcost!$O$19:$O$24</c:f>
                <c:numCache>
                  <c:formatCode>General</c:formatCode>
                  <c:ptCount val="6"/>
                  <c:pt idx="0">
                    <c:v>11952528.827217765</c:v>
                  </c:pt>
                  <c:pt idx="1">
                    <c:v>7414235.9959545657</c:v>
                  </c:pt>
                  <c:pt idx="2">
                    <c:v>8735446.9822023399</c:v>
                  </c:pt>
                  <c:pt idx="3">
                    <c:v>27378996.141893253</c:v>
                  </c:pt>
                  <c:pt idx="4">
                    <c:v>6369941.1132669412</c:v>
                  </c:pt>
                  <c:pt idx="5">
                    <c:v>9649886.8712513484</c:v>
                  </c:pt>
                </c:numCache>
              </c:numRef>
            </c:minus>
            <c:spPr>
              <a:noFill/>
              <a:ln w="9525" cap="flat" cmpd="sng" algn="ctr">
                <a:solidFill>
                  <a:schemeClr val="tx1">
                    <a:lumMod val="65000"/>
                    <a:lumOff val="35000"/>
                  </a:schemeClr>
                </a:solidFill>
                <a:round/>
              </a:ln>
              <a:effectLst/>
            </c:spPr>
          </c:errBars>
          <c:cat>
            <c:strRef>
              <c:f>'Summary dashboard'!$A$19:$A$24</c:f>
              <c:strCache>
                <c:ptCount val="6"/>
                <c:pt idx="0">
                  <c:v>Limpopo-Olifants CMA</c:v>
                </c:pt>
                <c:pt idx="1">
                  <c:v>Inkomati-Pongola CMA</c:v>
                </c:pt>
                <c:pt idx="2">
                  <c:v>Mkuze-Mtamvuna CMA</c:v>
                </c:pt>
                <c:pt idx="3">
                  <c:v>Vaal-Orange CMA</c:v>
                </c:pt>
                <c:pt idx="4">
                  <c:v>Mzimvubu-Tsitsikamma CMA</c:v>
                </c:pt>
                <c:pt idx="5">
                  <c:v>Breede-Olifants CMA</c:v>
                </c:pt>
              </c:strCache>
            </c:strRef>
          </c:cat>
          <c:val>
            <c:numRef>
              <c:f>'Summary dashboard'!$D$19:$D$24</c:f>
              <c:numCache>
                <c:formatCode>_-"R"* #\ ##0_-;\-"R"* #\ ##0_-;_-"R"* "-"??_-;_-@_-</c:formatCode>
                <c:ptCount val="6"/>
                <c:pt idx="0">
                  <c:v>42446917.476893336</c:v>
                </c:pt>
                <c:pt idx="1">
                  <c:v>44328671.455806822</c:v>
                </c:pt>
                <c:pt idx="2">
                  <c:v>35839919.067749999</c:v>
                </c:pt>
                <c:pt idx="3">
                  <c:v>52187951.761067331</c:v>
                </c:pt>
                <c:pt idx="4">
                  <c:v>34285854.535066664</c:v>
                </c:pt>
                <c:pt idx="5">
                  <c:v>53993494.475275807</c:v>
                </c:pt>
              </c:numCache>
            </c:numRef>
          </c:val>
          <c:extLst>
            <c:ext xmlns:c16="http://schemas.microsoft.com/office/drawing/2014/chart" uri="{C3380CC4-5D6E-409C-BE32-E72D297353CC}">
              <c16:uniqueId val="{00000001-4225-4C5C-A355-3166AB0F7168}"/>
            </c:ext>
          </c:extLst>
        </c:ser>
        <c:dLbls>
          <c:showLegendKey val="0"/>
          <c:showVal val="0"/>
          <c:showCatName val="0"/>
          <c:showSerName val="0"/>
          <c:showPercent val="0"/>
          <c:showBubbleSize val="0"/>
        </c:dLbls>
        <c:gapWidth val="50"/>
        <c:axId val="1194264976"/>
        <c:axId val="1194260712"/>
      </c:barChart>
      <c:catAx>
        <c:axId val="11942649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94260712"/>
        <c:crosses val="autoZero"/>
        <c:auto val="1"/>
        <c:lblAlgn val="ctr"/>
        <c:lblOffset val="100"/>
        <c:noMultiLvlLbl val="0"/>
      </c:catAx>
      <c:valAx>
        <c:axId val="1194260712"/>
        <c:scaling>
          <c:orientation val="minMax"/>
        </c:scaling>
        <c:delete val="0"/>
        <c:axPos val="l"/>
        <c:majorGridlines>
          <c:spPr>
            <a:ln w="9525" cap="flat" cmpd="sng" algn="ctr">
              <a:solidFill>
                <a:schemeClr val="tx1">
                  <a:lumMod val="15000"/>
                  <a:lumOff val="85000"/>
                </a:schemeClr>
              </a:solidFill>
              <a:round/>
            </a:ln>
            <a:effectLst/>
          </c:spPr>
        </c:majorGridlines>
        <c:numFmt formatCode="_-&quot;R&quot;* #\ ##0_-;\-&quot;R&quot;* #\ ##0_-;_-&quot;R&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94264976"/>
        <c:crosses val="autoZero"/>
        <c:crossBetween val="between"/>
        <c:dispUnits>
          <c:builtInUnit val="millions"/>
          <c:dispUnitsLbl>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R Million</a:t>
                  </a:r>
                </a:p>
              </c:rich>
            </c:tx>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sz="1200"/>
              <a:t>Annual public interest funding (2021 Rand)</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E_unitcost!$A$19</c:f>
              <c:strCache>
                <c:ptCount val="1"/>
                <c:pt idx="0">
                  <c:v>Limpopo-Olifants CMA</c:v>
                </c:pt>
              </c:strCache>
            </c:strRef>
          </c:tx>
          <c:spPr>
            <a:solidFill>
              <a:schemeClr val="accent1"/>
            </a:solidFill>
            <a:ln>
              <a:noFill/>
            </a:ln>
            <a:effectLst/>
          </c:spPr>
          <c:invertIfNegative val="0"/>
          <c:cat>
            <c:strRef>
              <c:f>E_unitcost!$B$18:$K$18</c:f>
              <c:strCache>
                <c:ptCount val="10"/>
                <c:pt idx="0">
                  <c:v>2023</c:v>
                </c:pt>
                <c:pt idx="1">
                  <c:v>2024</c:v>
                </c:pt>
                <c:pt idx="2">
                  <c:v>2025</c:v>
                </c:pt>
                <c:pt idx="3">
                  <c:v>2026</c:v>
                </c:pt>
                <c:pt idx="4">
                  <c:v>2027</c:v>
                </c:pt>
                <c:pt idx="5">
                  <c:v>2028</c:v>
                </c:pt>
                <c:pt idx="6">
                  <c:v>2029</c:v>
                </c:pt>
                <c:pt idx="7">
                  <c:v>2030</c:v>
                </c:pt>
                <c:pt idx="8">
                  <c:v>2031</c:v>
                </c:pt>
                <c:pt idx="9">
                  <c:v>2032</c:v>
                </c:pt>
              </c:strCache>
            </c:strRef>
          </c:cat>
          <c:val>
            <c:numRef>
              <c:f>E_unitcost!$B$19:$K$19</c:f>
              <c:numCache>
                <c:formatCode>_-"R"* #\ ##0_-;\-"R"* #\ ##0_-;_-"R"* "-"??_-;_-@_-</c:formatCode>
                <c:ptCount val="10"/>
                <c:pt idx="0">
                  <c:v>45132901.989584699</c:v>
                </c:pt>
                <c:pt idx="1">
                  <c:v>45132901.989584699</c:v>
                </c:pt>
                <c:pt idx="2">
                  <c:v>45132901.989584699</c:v>
                </c:pt>
                <c:pt idx="3">
                  <c:v>45132901.989584699</c:v>
                </c:pt>
                <c:pt idx="4">
                  <c:v>45132901.989584699</c:v>
                </c:pt>
                <c:pt idx="5">
                  <c:v>45132901.989584699</c:v>
                </c:pt>
                <c:pt idx="6">
                  <c:v>45132901.989584699</c:v>
                </c:pt>
                <c:pt idx="7">
                  <c:v>45132901.989584699</c:v>
                </c:pt>
                <c:pt idx="8">
                  <c:v>45132901.989584699</c:v>
                </c:pt>
                <c:pt idx="9">
                  <c:v>45132901.989584699</c:v>
                </c:pt>
              </c:numCache>
            </c:numRef>
          </c:val>
          <c:extLst>
            <c:ext xmlns:c16="http://schemas.microsoft.com/office/drawing/2014/chart" uri="{C3380CC4-5D6E-409C-BE32-E72D297353CC}">
              <c16:uniqueId val="{00000000-9A08-412B-BC00-D27A4C6AF407}"/>
            </c:ext>
          </c:extLst>
        </c:ser>
        <c:ser>
          <c:idx val="1"/>
          <c:order val="1"/>
          <c:tx>
            <c:strRef>
              <c:f>E_unitcost!$A$20</c:f>
              <c:strCache>
                <c:ptCount val="1"/>
                <c:pt idx="0">
                  <c:v>Inkomati-Pongola CMA</c:v>
                </c:pt>
              </c:strCache>
            </c:strRef>
          </c:tx>
          <c:spPr>
            <a:solidFill>
              <a:schemeClr val="accent2"/>
            </a:solidFill>
            <a:ln>
              <a:noFill/>
            </a:ln>
            <a:effectLst/>
          </c:spPr>
          <c:invertIfNegative val="0"/>
          <c:cat>
            <c:strRef>
              <c:f>E_unitcost!$B$18:$K$18</c:f>
              <c:strCache>
                <c:ptCount val="10"/>
                <c:pt idx="0">
                  <c:v>2023</c:v>
                </c:pt>
                <c:pt idx="1">
                  <c:v>2024</c:v>
                </c:pt>
                <c:pt idx="2">
                  <c:v>2025</c:v>
                </c:pt>
                <c:pt idx="3">
                  <c:v>2026</c:v>
                </c:pt>
                <c:pt idx="4">
                  <c:v>2027</c:v>
                </c:pt>
                <c:pt idx="5">
                  <c:v>2028</c:v>
                </c:pt>
                <c:pt idx="6">
                  <c:v>2029</c:v>
                </c:pt>
                <c:pt idx="7">
                  <c:v>2030</c:v>
                </c:pt>
                <c:pt idx="8">
                  <c:v>2031</c:v>
                </c:pt>
                <c:pt idx="9">
                  <c:v>2032</c:v>
                </c:pt>
              </c:strCache>
            </c:strRef>
          </c:cat>
          <c:val>
            <c:numRef>
              <c:f>E_unitcost!$B$20:$K$20</c:f>
              <c:numCache>
                <c:formatCode>_-"R"* #\ ##0_-;\-"R"* #\ ##0_-;_-"R"* "-"??_-;_-@_-</c:formatCode>
                <c:ptCount val="10"/>
                <c:pt idx="0">
                  <c:v>27659462.481481463</c:v>
                </c:pt>
                <c:pt idx="1">
                  <c:v>27659462.481481463</c:v>
                </c:pt>
                <c:pt idx="2">
                  <c:v>27659462.481481463</c:v>
                </c:pt>
                <c:pt idx="3">
                  <c:v>27659462.481481463</c:v>
                </c:pt>
                <c:pt idx="4">
                  <c:v>27659462.481481463</c:v>
                </c:pt>
                <c:pt idx="5">
                  <c:v>27659462.481481463</c:v>
                </c:pt>
                <c:pt idx="6">
                  <c:v>27659462.481481463</c:v>
                </c:pt>
                <c:pt idx="7">
                  <c:v>27659462.481481463</c:v>
                </c:pt>
                <c:pt idx="8">
                  <c:v>27659462.481481463</c:v>
                </c:pt>
                <c:pt idx="9">
                  <c:v>27659462.481481463</c:v>
                </c:pt>
              </c:numCache>
            </c:numRef>
          </c:val>
          <c:extLst>
            <c:ext xmlns:c16="http://schemas.microsoft.com/office/drawing/2014/chart" uri="{C3380CC4-5D6E-409C-BE32-E72D297353CC}">
              <c16:uniqueId val="{00000001-9A08-412B-BC00-D27A4C6AF407}"/>
            </c:ext>
          </c:extLst>
        </c:ser>
        <c:ser>
          <c:idx val="2"/>
          <c:order val="2"/>
          <c:tx>
            <c:strRef>
              <c:f>E_unitcost!$A$21</c:f>
              <c:strCache>
                <c:ptCount val="1"/>
                <c:pt idx="0">
                  <c:v>Mkuze-Mtamvuna CMA</c:v>
                </c:pt>
              </c:strCache>
            </c:strRef>
          </c:tx>
          <c:spPr>
            <a:solidFill>
              <a:schemeClr val="accent3"/>
            </a:solidFill>
            <a:ln>
              <a:noFill/>
            </a:ln>
            <a:effectLst/>
          </c:spPr>
          <c:invertIfNegative val="0"/>
          <c:cat>
            <c:strRef>
              <c:f>E_unitcost!$B$18:$K$18</c:f>
              <c:strCache>
                <c:ptCount val="10"/>
                <c:pt idx="0">
                  <c:v>2023</c:v>
                </c:pt>
                <c:pt idx="1">
                  <c:v>2024</c:v>
                </c:pt>
                <c:pt idx="2">
                  <c:v>2025</c:v>
                </c:pt>
                <c:pt idx="3">
                  <c:v>2026</c:v>
                </c:pt>
                <c:pt idx="4">
                  <c:v>2027</c:v>
                </c:pt>
                <c:pt idx="5">
                  <c:v>2028</c:v>
                </c:pt>
                <c:pt idx="6">
                  <c:v>2029</c:v>
                </c:pt>
                <c:pt idx="7">
                  <c:v>2030</c:v>
                </c:pt>
                <c:pt idx="8">
                  <c:v>2031</c:v>
                </c:pt>
                <c:pt idx="9">
                  <c:v>2032</c:v>
                </c:pt>
              </c:strCache>
            </c:strRef>
          </c:cat>
          <c:val>
            <c:numRef>
              <c:f>E_unitcost!$B$21:$K$21</c:f>
              <c:numCache>
                <c:formatCode>_-"R"* #\ ##0_-;\-"R"* #\ ##0_-;_-"R"* "-"??_-;_-@_-</c:formatCode>
                <c:ptCount val="10"/>
                <c:pt idx="0">
                  <c:v>32737470.530241832</c:v>
                </c:pt>
                <c:pt idx="1">
                  <c:v>32737470.530241832</c:v>
                </c:pt>
                <c:pt idx="2">
                  <c:v>32737470.530241832</c:v>
                </c:pt>
                <c:pt idx="3">
                  <c:v>32737470.530241832</c:v>
                </c:pt>
                <c:pt idx="4">
                  <c:v>32737470.530241832</c:v>
                </c:pt>
                <c:pt idx="5">
                  <c:v>32737470.530241832</c:v>
                </c:pt>
                <c:pt idx="6">
                  <c:v>32737470.530241832</c:v>
                </c:pt>
                <c:pt idx="7">
                  <c:v>32737470.530241832</c:v>
                </c:pt>
                <c:pt idx="8">
                  <c:v>32737470.530241832</c:v>
                </c:pt>
                <c:pt idx="9">
                  <c:v>32737470.530241832</c:v>
                </c:pt>
              </c:numCache>
            </c:numRef>
          </c:val>
          <c:extLst>
            <c:ext xmlns:c16="http://schemas.microsoft.com/office/drawing/2014/chart" uri="{C3380CC4-5D6E-409C-BE32-E72D297353CC}">
              <c16:uniqueId val="{00000002-9A08-412B-BC00-D27A4C6AF407}"/>
            </c:ext>
          </c:extLst>
        </c:ser>
        <c:ser>
          <c:idx val="3"/>
          <c:order val="3"/>
          <c:tx>
            <c:strRef>
              <c:f>E_unitcost!$A$22</c:f>
              <c:strCache>
                <c:ptCount val="1"/>
                <c:pt idx="0">
                  <c:v>Vaal-Orange CMA</c:v>
                </c:pt>
              </c:strCache>
            </c:strRef>
          </c:tx>
          <c:spPr>
            <a:solidFill>
              <a:schemeClr val="accent4"/>
            </a:solidFill>
            <a:ln>
              <a:noFill/>
            </a:ln>
            <a:effectLst/>
          </c:spPr>
          <c:invertIfNegative val="0"/>
          <c:cat>
            <c:strRef>
              <c:f>E_unitcost!$B$18:$K$18</c:f>
              <c:strCache>
                <c:ptCount val="10"/>
                <c:pt idx="0">
                  <c:v>2023</c:v>
                </c:pt>
                <c:pt idx="1">
                  <c:v>2024</c:v>
                </c:pt>
                <c:pt idx="2">
                  <c:v>2025</c:v>
                </c:pt>
                <c:pt idx="3">
                  <c:v>2026</c:v>
                </c:pt>
                <c:pt idx="4">
                  <c:v>2027</c:v>
                </c:pt>
                <c:pt idx="5">
                  <c:v>2028</c:v>
                </c:pt>
                <c:pt idx="6">
                  <c:v>2029</c:v>
                </c:pt>
                <c:pt idx="7">
                  <c:v>2030</c:v>
                </c:pt>
                <c:pt idx="8">
                  <c:v>2031</c:v>
                </c:pt>
                <c:pt idx="9">
                  <c:v>2032</c:v>
                </c:pt>
              </c:strCache>
            </c:strRef>
          </c:cat>
          <c:val>
            <c:numRef>
              <c:f>E_unitcost!$B$22:$K$22</c:f>
              <c:numCache>
                <c:formatCode>_-"R"* #\ ##0_-;\-"R"* #\ ##0_-;_-"R"* "-"??_-;_-@_-</c:formatCode>
                <c:ptCount val="10"/>
                <c:pt idx="0">
                  <c:v>104286748.25158592</c:v>
                </c:pt>
                <c:pt idx="1">
                  <c:v>104286748.25158592</c:v>
                </c:pt>
                <c:pt idx="2">
                  <c:v>104286748.25158592</c:v>
                </c:pt>
                <c:pt idx="3">
                  <c:v>104286748.25158592</c:v>
                </c:pt>
                <c:pt idx="4">
                  <c:v>104286748.25158592</c:v>
                </c:pt>
                <c:pt idx="5">
                  <c:v>104286748.25158592</c:v>
                </c:pt>
                <c:pt idx="6">
                  <c:v>104286748.25158592</c:v>
                </c:pt>
                <c:pt idx="7">
                  <c:v>104286748.25158592</c:v>
                </c:pt>
                <c:pt idx="8">
                  <c:v>104286748.25158592</c:v>
                </c:pt>
                <c:pt idx="9">
                  <c:v>104286748.25158592</c:v>
                </c:pt>
              </c:numCache>
            </c:numRef>
          </c:val>
          <c:extLst>
            <c:ext xmlns:c16="http://schemas.microsoft.com/office/drawing/2014/chart" uri="{C3380CC4-5D6E-409C-BE32-E72D297353CC}">
              <c16:uniqueId val="{00000003-9A08-412B-BC00-D27A4C6AF407}"/>
            </c:ext>
          </c:extLst>
        </c:ser>
        <c:ser>
          <c:idx val="4"/>
          <c:order val="4"/>
          <c:tx>
            <c:strRef>
              <c:f>E_unitcost!$A$23</c:f>
              <c:strCache>
                <c:ptCount val="1"/>
                <c:pt idx="0">
                  <c:v>Mzimvubu-Tsitsikamma CMA</c:v>
                </c:pt>
              </c:strCache>
            </c:strRef>
          </c:tx>
          <c:spPr>
            <a:solidFill>
              <a:schemeClr val="accent5"/>
            </a:solidFill>
            <a:ln>
              <a:noFill/>
            </a:ln>
            <a:effectLst/>
          </c:spPr>
          <c:invertIfNegative val="0"/>
          <c:cat>
            <c:strRef>
              <c:f>E_unitcost!$B$18:$K$18</c:f>
              <c:strCache>
                <c:ptCount val="10"/>
                <c:pt idx="0">
                  <c:v>2023</c:v>
                </c:pt>
                <c:pt idx="1">
                  <c:v>2024</c:v>
                </c:pt>
                <c:pt idx="2">
                  <c:v>2025</c:v>
                </c:pt>
                <c:pt idx="3">
                  <c:v>2026</c:v>
                </c:pt>
                <c:pt idx="4">
                  <c:v>2027</c:v>
                </c:pt>
                <c:pt idx="5">
                  <c:v>2028</c:v>
                </c:pt>
                <c:pt idx="6">
                  <c:v>2029</c:v>
                </c:pt>
                <c:pt idx="7">
                  <c:v>2030</c:v>
                </c:pt>
                <c:pt idx="8">
                  <c:v>2031</c:v>
                </c:pt>
                <c:pt idx="9">
                  <c:v>2032</c:v>
                </c:pt>
              </c:strCache>
            </c:strRef>
          </c:cat>
          <c:val>
            <c:numRef>
              <c:f>E_unitcost!$B$23:$K$23</c:f>
              <c:numCache>
                <c:formatCode>_-"R"* #\ ##0_-;\-"R"* #\ ##0_-;_-"R"* "-"??_-;_-@_-</c:formatCode>
                <c:ptCount val="10"/>
                <c:pt idx="0">
                  <c:v>24379330.23622708</c:v>
                </c:pt>
                <c:pt idx="1">
                  <c:v>24379330.23622708</c:v>
                </c:pt>
                <c:pt idx="2">
                  <c:v>24379330.23622708</c:v>
                </c:pt>
                <c:pt idx="3">
                  <c:v>24379330.23622708</c:v>
                </c:pt>
                <c:pt idx="4">
                  <c:v>24379330.23622708</c:v>
                </c:pt>
                <c:pt idx="5">
                  <c:v>24379330.23622708</c:v>
                </c:pt>
                <c:pt idx="6">
                  <c:v>24379330.23622708</c:v>
                </c:pt>
                <c:pt idx="7">
                  <c:v>24379330.23622708</c:v>
                </c:pt>
                <c:pt idx="8">
                  <c:v>24379330.23622708</c:v>
                </c:pt>
                <c:pt idx="9">
                  <c:v>24379330.23622708</c:v>
                </c:pt>
              </c:numCache>
            </c:numRef>
          </c:val>
          <c:extLst>
            <c:ext xmlns:c16="http://schemas.microsoft.com/office/drawing/2014/chart" uri="{C3380CC4-5D6E-409C-BE32-E72D297353CC}">
              <c16:uniqueId val="{00000004-9A08-412B-BC00-D27A4C6AF407}"/>
            </c:ext>
          </c:extLst>
        </c:ser>
        <c:ser>
          <c:idx val="5"/>
          <c:order val="5"/>
          <c:tx>
            <c:strRef>
              <c:f>E_unitcost!$A$24</c:f>
              <c:strCache>
                <c:ptCount val="1"/>
                <c:pt idx="0">
                  <c:v>Breede-Olifants CMA</c:v>
                </c:pt>
              </c:strCache>
            </c:strRef>
          </c:tx>
          <c:spPr>
            <a:solidFill>
              <a:schemeClr val="accent6"/>
            </a:solidFill>
            <a:ln>
              <a:noFill/>
            </a:ln>
            <a:effectLst/>
          </c:spPr>
          <c:invertIfNegative val="0"/>
          <c:cat>
            <c:strRef>
              <c:f>E_unitcost!$B$18:$K$18</c:f>
              <c:strCache>
                <c:ptCount val="10"/>
                <c:pt idx="0">
                  <c:v>2023</c:v>
                </c:pt>
                <c:pt idx="1">
                  <c:v>2024</c:v>
                </c:pt>
                <c:pt idx="2">
                  <c:v>2025</c:v>
                </c:pt>
                <c:pt idx="3">
                  <c:v>2026</c:v>
                </c:pt>
                <c:pt idx="4">
                  <c:v>2027</c:v>
                </c:pt>
                <c:pt idx="5">
                  <c:v>2028</c:v>
                </c:pt>
                <c:pt idx="6">
                  <c:v>2029</c:v>
                </c:pt>
                <c:pt idx="7">
                  <c:v>2030</c:v>
                </c:pt>
                <c:pt idx="8">
                  <c:v>2031</c:v>
                </c:pt>
                <c:pt idx="9">
                  <c:v>2032</c:v>
                </c:pt>
              </c:strCache>
            </c:strRef>
          </c:cat>
          <c:val>
            <c:numRef>
              <c:f>E_unitcost!$B$24:$K$24</c:f>
              <c:numCache>
                <c:formatCode>_-"R"* #\ ##0_-;\-"R"* #\ ##0_-;_-"R"* "-"??_-;_-@_-</c:formatCode>
                <c:ptCount val="10"/>
                <c:pt idx="0">
                  <c:v>36056132.522035502</c:v>
                </c:pt>
                <c:pt idx="1">
                  <c:v>36056132.522035502</c:v>
                </c:pt>
                <c:pt idx="2">
                  <c:v>36056132.522035502</c:v>
                </c:pt>
                <c:pt idx="3">
                  <c:v>36056132.522035502</c:v>
                </c:pt>
                <c:pt idx="4">
                  <c:v>36056132.522035502</c:v>
                </c:pt>
                <c:pt idx="5">
                  <c:v>36056132.522035502</c:v>
                </c:pt>
                <c:pt idx="6">
                  <c:v>36056132.522035502</c:v>
                </c:pt>
                <c:pt idx="7">
                  <c:v>36056132.522035502</c:v>
                </c:pt>
                <c:pt idx="8">
                  <c:v>36056132.522035502</c:v>
                </c:pt>
                <c:pt idx="9">
                  <c:v>36056132.522035502</c:v>
                </c:pt>
              </c:numCache>
            </c:numRef>
          </c:val>
          <c:extLst>
            <c:ext xmlns:c16="http://schemas.microsoft.com/office/drawing/2014/chart" uri="{C3380CC4-5D6E-409C-BE32-E72D297353CC}">
              <c16:uniqueId val="{00000005-9A08-412B-BC00-D27A4C6AF407}"/>
            </c:ext>
          </c:extLst>
        </c:ser>
        <c:dLbls>
          <c:showLegendKey val="0"/>
          <c:showVal val="0"/>
          <c:showCatName val="0"/>
          <c:showSerName val="0"/>
          <c:showPercent val="0"/>
          <c:showBubbleSize val="0"/>
        </c:dLbls>
        <c:gapWidth val="50"/>
        <c:overlap val="100"/>
        <c:axId val="910219704"/>
        <c:axId val="910229544"/>
      </c:barChart>
      <c:catAx>
        <c:axId val="910219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0229544"/>
        <c:crosses val="autoZero"/>
        <c:auto val="1"/>
        <c:lblAlgn val="ctr"/>
        <c:lblOffset val="100"/>
        <c:noMultiLvlLbl val="0"/>
      </c:catAx>
      <c:valAx>
        <c:axId val="910229544"/>
        <c:scaling>
          <c:orientation val="minMax"/>
        </c:scaling>
        <c:delete val="0"/>
        <c:axPos val="l"/>
        <c:majorGridlines>
          <c:spPr>
            <a:ln w="9525" cap="flat" cmpd="sng" algn="ctr">
              <a:solidFill>
                <a:schemeClr val="tx1">
                  <a:lumMod val="15000"/>
                  <a:lumOff val="85000"/>
                </a:schemeClr>
              </a:solidFill>
              <a:round/>
            </a:ln>
            <a:effectLst/>
          </c:spPr>
        </c:majorGridlines>
        <c:numFmt formatCode="_-&quot;R&quot;* #\ ##0_-;\-&quot;R&quot;* #\ ##0_-;_-&quot;R&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0219704"/>
        <c:crosses val="autoZero"/>
        <c:crossBetween val="between"/>
        <c:dispUnits>
          <c:builtInUnit val="millions"/>
          <c:dispUnitsLbl>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ZA"/>
                    <a:t>R Million</a:t>
                  </a:r>
                </a:p>
              </c:rich>
            </c:tx>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sz="1200"/>
              <a:t>Annual median subsidy for costing approaches</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39318281092059598"/>
          <c:y val="0.22486782902137234"/>
          <c:w val="0.52005579667204482"/>
          <c:h val="0.57109746883059298"/>
        </c:manualLayout>
      </c:layout>
      <c:barChart>
        <c:barDir val="bar"/>
        <c:grouping val="clustered"/>
        <c:varyColors val="0"/>
        <c:ser>
          <c:idx val="0"/>
          <c:order val="0"/>
          <c:spPr>
            <a:solidFill>
              <a:schemeClr val="accent2"/>
            </a:solidFill>
            <a:ln>
              <a:noFill/>
            </a:ln>
            <a:effectLst/>
          </c:spPr>
          <c:invertIfNegative val="0"/>
          <c:dPt>
            <c:idx val="0"/>
            <c:invertIfNegative val="0"/>
            <c:bubble3D val="0"/>
            <c:spPr>
              <a:solidFill>
                <a:schemeClr val="accent6"/>
              </a:solidFill>
              <a:ln>
                <a:solidFill>
                  <a:schemeClr val="accent6"/>
                </a:solidFill>
              </a:ln>
              <a:effectLst/>
            </c:spPr>
            <c:extLst>
              <c:ext xmlns:c16="http://schemas.microsoft.com/office/drawing/2014/chart" uri="{C3380CC4-5D6E-409C-BE32-E72D297353CC}">
                <c16:uniqueId val="{00000001-C1EF-4F97-B4D7-EEF12E4FBA96}"/>
              </c:ext>
            </c:extLst>
          </c:dPt>
          <c:dPt>
            <c:idx val="1"/>
            <c:invertIfNegative val="0"/>
            <c:bubble3D val="0"/>
            <c:spPr>
              <a:solidFill>
                <a:schemeClr val="accent5"/>
              </a:solidFill>
              <a:ln>
                <a:noFill/>
              </a:ln>
              <a:effectLst/>
            </c:spPr>
            <c:extLst>
              <c:ext xmlns:c16="http://schemas.microsoft.com/office/drawing/2014/chart" uri="{C3380CC4-5D6E-409C-BE32-E72D297353CC}">
                <c16:uniqueId val="{00000001-BE0D-4C2E-999B-56037A2BC260}"/>
              </c:ext>
            </c:extLst>
          </c:dPt>
          <c:cat>
            <c:strRef>
              <c:f>'Summary dashboard'!$A$8:$A$10</c:f>
              <c:strCache>
                <c:ptCount val="3"/>
                <c:pt idx="0">
                  <c:v>Minimum cost approach</c:v>
                </c:pt>
                <c:pt idx="1">
                  <c:v>Unit cost approach</c:v>
                </c:pt>
                <c:pt idx="2">
                  <c:v>Budgeted expenditure approach</c:v>
                </c:pt>
              </c:strCache>
            </c:strRef>
          </c:cat>
          <c:val>
            <c:numRef>
              <c:f>'Summary dashboard'!$B$8:$B$10</c:f>
              <c:numCache>
                <c:formatCode>_-"R"* #\ ##0_-;\-"R"* #\ ##0_-;_-"R"* "-"??_-;_-@_-</c:formatCode>
                <c:ptCount val="3"/>
                <c:pt idx="0">
                  <c:v>201916893.73045534</c:v>
                </c:pt>
                <c:pt idx="1">
                  <c:v>270252046.0111565</c:v>
                </c:pt>
                <c:pt idx="2">
                  <c:v>263082808.77186</c:v>
                </c:pt>
              </c:numCache>
            </c:numRef>
          </c:val>
          <c:extLst>
            <c:ext xmlns:c16="http://schemas.microsoft.com/office/drawing/2014/chart" uri="{C3380CC4-5D6E-409C-BE32-E72D297353CC}">
              <c16:uniqueId val="{00000002-BE0D-4C2E-999B-56037A2BC260}"/>
            </c:ext>
          </c:extLst>
        </c:ser>
        <c:dLbls>
          <c:showLegendKey val="0"/>
          <c:showVal val="0"/>
          <c:showCatName val="0"/>
          <c:showSerName val="0"/>
          <c:showPercent val="0"/>
          <c:showBubbleSize val="0"/>
        </c:dLbls>
        <c:gapWidth val="50"/>
        <c:overlap val="-10"/>
        <c:axId val="837302248"/>
        <c:axId val="837304544"/>
      </c:barChart>
      <c:catAx>
        <c:axId val="83730224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7304544"/>
        <c:crosses val="autoZero"/>
        <c:auto val="1"/>
        <c:lblAlgn val="ctr"/>
        <c:lblOffset val="100"/>
        <c:noMultiLvlLbl val="0"/>
      </c:catAx>
      <c:valAx>
        <c:axId val="837304544"/>
        <c:scaling>
          <c:orientation val="minMax"/>
        </c:scaling>
        <c:delete val="0"/>
        <c:axPos val="b"/>
        <c:majorGridlines>
          <c:spPr>
            <a:ln w="9525" cap="flat" cmpd="sng" algn="ctr">
              <a:solidFill>
                <a:schemeClr val="tx1">
                  <a:lumMod val="15000"/>
                  <a:lumOff val="85000"/>
                </a:schemeClr>
              </a:solidFill>
              <a:round/>
            </a:ln>
            <a:effectLst/>
          </c:spPr>
        </c:majorGridlines>
        <c:numFmt formatCode="_-&quot;R&quot;* #\ ##0_-;\-&quot;R&quot;* #\ ##0_-;_-&quot;R&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7302248"/>
        <c:crosses val="autoZero"/>
        <c:crossBetween val="between"/>
        <c:dispUnits>
          <c:builtInUnit val="millions"/>
          <c:dispUnitsLbl>
            <c:layout>
              <c:manualLayout>
                <c:xMode val="edge"/>
                <c:yMode val="edge"/>
                <c:x val="0.8035407709973269"/>
                <c:y val="0.86822293678653517"/>
              </c:manualLayout>
            </c:layout>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ZA"/>
                    <a:t>R Million</a:t>
                  </a:r>
                </a:p>
              </c:rich>
            </c:tx>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'CMA dashboard'!$F$5</c:f>
          <c:strCache>
            <c:ptCount val="1"/>
            <c:pt idx="0">
              <c:v>Funding required for CMA public interest function for Vaal-Orange CMA</c:v>
            </c:pt>
          </c:strCache>
        </c:strRef>
      </c:tx>
      <c:layout>
        <c:manualLayout>
          <c:xMode val="edge"/>
          <c:yMode val="edge"/>
          <c:x val="1.8369235959174151E-2"/>
          <c:y val="1.865581407003258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103316293373537"/>
          <c:y val="0.20766156755658069"/>
          <c:w val="0.54429732680983678"/>
          <c:h val="0.68575872460386889"/>
        </c:manualLayout>
      </c:layout>
      <c:barChart>
        <c:barDir val="col"/>
        <c:grouping val="stacked"/>
        <c:varyColors val="0"/>
        <c:ser>
          <c:idx val="0"/>
          <c:order val="0"/>
          <c:tx>
            <c:strRef>
              <c:f>'CMA dashboard'!$A$21</c:f>
              <c:strCache>
                <c:ptCount val="1"/>
                <c:pt idx="0">
                  <c:v>Public interest subsidy required (median)</c:v>
                </c:pt>
              </c:strCache>
            </c:strRef>
          </c:tx>
          <c:spPr>
            <a:solidFill>
              <a:schemeClr val="accent1"/>
            </a:solidFill>
            <a:ln>
              <a:noFill/>
            </a:ln>
            <a:effectLst/>
          </c:spPr>
          <c:invertIfNegative val="0"/>
          <c:cat>
            <c:strRef>
              <c:f>'CMA dashboard'!$B$21:$K$21</c:f>
              <c:strCache>
                <c:ptCount val="10"/>
                <c:pt idx="0">
                  <c:v>2023</c:v>
                </c:pt>
                <c:pt idx="1">
                  <c:v>2024</c:v>
                </c:pt>
                <c:pt idx="2">
                  <c:v>2025</c:v>
                </c:pt>
                <c:pt idx="3">
                  <c:v>2026</c:v>
                </c:pt>
                <c:pt idx="4">
                  <c:v>2027</c:v>
                </c:pt>
                <c:pt idx="5">
                  <c:v>2028</c:v>
                </c:pt>
                <c:pt idx="6">
                  <c:v>2029</c:v>
                </c:pt>
                <c:pt idx="7">
                  <c:v>2030</c:v>
                </c:pt>
                <c:pt idx="8">
                  <c:v>2031</c:v>
                </c:pt>
                <c:pt idx="9">
                  <c:v>2032</c:v>
                </c:pt>
              </c:strCache>
            </c:strRef>
          </c:cat>
          <c:val>
            <c:numRef>
              <c:f>'CMA dashboard'!$B$21:$K$21</c:f>
              <c:numCache>
                <c:formatCode>General</c:formatCode>
                <c:ptCount val="10"/>
                <c:pt idx="0">
                  <c:v>0</c:v>
                </c:pt>
                <c:pt idx="1">
                  <c:v>2024</c:v>
                </c:pt>
                <c:pt idx="2">
                  <c:v>2025</c:v>
                </c:pt>
                <c:pt idx="3">
                  <c:v>2026</c:v>
                </c:pt>
                <c:pt idx="4">
                  <c:v>2027</c:v>
                </c:pt>
                <c:pt idx="5">
                  <c:v>2028</c:v>
                </c:pt>
                <c:pt idx="6">
                  <c:v>2029</c:v>
                </c:pt>
                <c:pt idx="7">
                  <c:v>2030</c:v>
                </c:pt>
                <c:pt idx="8">
                  <c:v>2031</c:v>
                </c:pt>
                <c:pt idx="9">
                  <c:v>2032</c:v>
                </c:pt>
              </c:numCache>
            </c:numRef>
          </c:val>
          <c:extLst>
            <c:ext xmlns:c16="http://schemas.microsoft.com/office/drawing/2014/chart" uri="{C3380CC4-5D6E-409C-BE32-E72D297353CC}">
              <c16:uniqueId val="{00000000-8D7C-4748-80ED-B4DA5F315CEA}"/>
            </c:ext>
          </c:extLst>
        </c:ser>
        <c:ser>
          <c:idx val="1"/>
          <c:order val="1"/>
          <c:tx>
            <c:strRef>
              <c:f>'CMA dashboard'!$A$22</c:f>
              <c:strCache>
                <c:ptCount val="1"/>
                <c:pt idx="0">
                  <c:v>CMS &amp; water resources planning</c:v>
                </c:pt>
              </c:strCache>
            </c:strRef>
          </c:tx>
          <c:spPr>
            <a:solidFill>
              <a:schemeClr val="accent2"/>
            </a:solidFill>
            <a:ln>
              <a:noFill/>
            </a:ln>
            <a:effectLst/>
          </c:spPr>
          <c:invertIfNegative val="0"/>
          <c:cat>
            <c:strRef>
              <c:f>'CMA dashboard'!$B$21:$K$21</c:f>
              <c:strCache>
                <c:ptCount val="10"/>
                <c:pt idx="0">
                  <c:v>2023</c:v>
                </c:pt>
                <c:pt idx="1">
                  <c:v>2024</c:v>
                </c:pt>
                <c:pt idx="2">
                  <c:v>2025</c:v>
                </c:pt>
                <c:pt idx="3">
                  <c:v>2026</c:v>
                </c:pt>
                <c:pt idx="4">
                  <c:v>2027</c:v>
                </c:pt>
                <c:pt idx="5">
                  <c:v>2028</c:v>
                </c:pt>
                <c:pt idx="6">
                  <c:v>2029</c:v>
                </c:pt>
                <c:pt idx="7">
                  <c:v>2030</c:v>
                </c:pt>
                <c:pt idx="8">
                  <c:v>2031</c:v>
                </c:pt>
                <c:pt idx="9">
                  <c:v>2032</c:v>
                </c:pt>
              </c:strCache>
            </c:strRef>
          </c:cat>
          <c:val>
            <c:numRef>
              <c:f>'CMA dashboard'!$B$22:$K$22</c:f>
              <c:numCache>
                <c:formatCode>_-"R"* #\ ##0_-;\-"R"* #\ ##0_-;_-"R"* "-"??_-;_-@_-</c:formatCode>
                <c:ptCount val="10"/>
                <c:pt idx="0">
                  <c:v>6453510.2016620003</c:v>
                </c:pt>
                <c:pt idx="1">
                  <c:v>6453510.2016620003</c:v>
                </c:pt>
                <c:pt idx="2">
                  <c:v>6453510.2016620003</c:v>
                </c:pt>
                <c:pt idx="3">
                  <c:v>6453510.2016620003</c:v>
                </c:pt>
                <c:pt idx="4">
                  <c:v>6453510.2016620003</c:v>
                </c:pt>
                <c:pt idx="5">
                  <c:v>6453510.2016620003</c:v>
                </c:pt>
                <c:pt idx="6">
                  <c:v>6453510.2016620003</c:v>
                </c:pt>
                <c:pt idx="7">
                  <c:v>6453510.2016620003</c:v>
                </c:pt>
                <c:pt idx="8">
                  <c:v>6453510.2016620003</c:v>
                </c:pt>
                <c:pt idx="9">
                  <c:v>6453510.2016620003</c:v>
                </c:pt>
              </c:numCache>
            </c:numRef>
          </c:val>
          <c:extLst>
            <c:ext xmlns:c16="http://schemas.microsoft.com/office/drawing/2014/chart" uri="{C3380CC4-5D6E-409C-BE32-E72D297353CC}">
              <c16:uniqueId val="{00000002-8D7C-4748-80ED-B4DA5F315CEA}"/>
            </c:ext>
          </c:extLst>
        </c:ser>
        <c:ser>
          <c:idx val="2"/>
          <c:order val="2"/>
          <c:tx>
            <c:strRef>
              <c:f>'CMA dashboard'!$A$23</c:f>
              <c:strCache>
                <c:ptCount val="1"/>
                <c:pt idx="0">
                  <c:v>Institutional development</c:v>
                </c:pt>
              </c:strCache>
            </c:strRef>
          </c:tx>
          <c:spPr>
            <a:solidFill>
              <a:schemeClr val="accent3"/>
            </a:solidFill>
            <a:ln>
              <a:noFill/>
            </a:ln>
            <a:effectLst/>
          </c:spPr>
          <c:invertIfNegative val="0"/>
          <c:cat>
            <c:strRef>
              <c:f>'CMA dashboard'!$B$21:$K$21</c:f>
              <c:strCache>
                <c:ptCount val="10"/>
                <c:pt idx="0">
                  <c:v>2023</c:v>
                </c:pt>
                <c:pt idx="1">
                  <c:v>2024</c:v>
                </c:pt>
                <c:pt idx="2">
                  <c:v>2025</c:v>
                </c:pt>
                <c:pt idx="3">
                  <c:v>2026</c:v>
                </c:pt>
                <c:pt idx="4">
                  <c:v>2027</c:v>
                </c:pt>
                <c:pt idx="5">
                  <c:v>2028</c:v>
                </c:pt>
                <c:pt idx="6">
                  <c:v>2029</c:v>
                </c:pt>
                <c:pt idx="7">
                  <c:v>2030</c:v>
                </c:pt>
                <c:pt idx="8">
                  <c:v>2031</c:v>
                </c:pt>
                <c:pt idx="9">
                  <c:v>2032</c:v>
                </c:pt>
              </c:strCache>
            </c:strRef>
          </c:cat>
          <c:val>
            <c:numRef>
              <c:f>'CMA dashboard'!$B$23:$K$23</c:f>
              <c:numCache>
                <c:formatCode>_-"R"* #\ ##0_-;\-"R"* #\ ##0_-;_-"R"* "-"??_-;_-@_-</c:formatCode>
                <c:ptCount val="10"/>
                <c:pt idx="0">
                  <c:v>1839368.8758000005</c:v>
                </c:pt>
                <c:pt idx="1">
                  <c:v>1839368.8758000005</c:v>
                </c:pt>
                <c:pt idx="2">
                  <c:v>1839368.8758000005</c:v>
                </c:pt>
                <c:pt idx="3">
                  <c:v>1839368.8758000005</c:v>
                </c:pt>
                <c:pt idx="4">
                  <c:v>1839368.8758000005</c:v>
                </c:pt>
                <c:pt idx="5">
                  <c:v>1839368.8758000005</c:v>
                </c:pt>
                <c:pt idx="6">
                  <c:v>1839368.8758000005</c:v>
                </c:pt>
                <c:pt idx="7">
                  <c:v>1839368.8758000005</c:v>
                </c:pt>
                <c:pt idx="8">
                  <c:v>1839368.8758000005</c:v>
                </c:pt>
                <c:pt idx="9">
                  <c:v>1839368.8758000005</c:v>
                </c:pt>
              </c:numCache>
            </c:numRef>
          </c:val>
          <c:extLst>
            <c:ext xmlns:c16="http://schemas.microsoft.com/office/drawing/2014/chart" uri="{C3380CC4-5D6E-409C-BE32-E72D297353CC}">
              <c16:uniqueId val="{00000003-8D7C-4748-80ED-B4DA5F315CEA}"/>
            </c:ext>
          </c:extLst>
        </c:ser>
        <c:ser>
          <c:idx val="3"/>
          <c:order val="3"/>
          <c:tx>
            <c:strRef>
              <c:f>'CMA dashboard'!$A$24</c:f>
              <c:strCache>
                <c:ptCount val="1"/>
                <c:pt idx="0">
                  <c:v>Disaster management</c:v>
                </c:pt>
              </c:strCache>
            </c:strRef>
          </c:tx>
          <c:spPr>
            <a:solidFill>
              <a:schemeClr val="accent4"/>
            </a:solidFill>
            <a:ln>
              <a:noFill/>
            </a:ln>
            <a:effectLst/>
          </c:spPr>
          <c:invertIfNegative val="0"/>
          <c:cat>
            <c:strRef>
              <c:f>'CMA dashboard'!$B$21:$K$21</c:f>
              <c:strCache>
                <c:ptCount val="10"/>
                <c:pt idx="0">
                  <c:v>2023</c:v>
                </c:pt>
                <c:pt idx="1">
                  <c:v>2024</c:v>
                </c:pt>
                <c:pt idx="2">
                  <c:v>2025</c:v>
                </c:pt>
                <c:pt idx="3">
                  <c:v>2026</c:v>
                </c:pt>
                <c:pt idx="4">
                  <c:v>2027</c:v>
                </c:pt>
                <c:pt idx="5">
                  <c:v>2028</c:v>
                </c:pt>
                <c:pt idx="6">
                  <c:v>2029</c:v>
                </c:pt>
                <c:pt idx="7">
                  <c:v>2030</c:v>
                </c:pt>
                <c:pt idx="8">
                  <c:v>2031</c:v>
                </c:pt>
                <c:pt idx="9">
                  <c:v>2032</c:v>
                </c:pt>
              </c:strCache>
            </c:strRef>
          </c:cat>
          <c:val>
            <c:numRef>
              <c:f>'CMA dashboard'!$B$24:$K$24</c:f>
              <c:numCache>
                <c:formatCode>_-"R"* #\ ##0_-;\-"R"* #\ ##0_-;_-"R"* "-"??_-;_-@_-</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8D7C-4748-80ED-B4DA5F315CEA}"/>
            </c:ext>
          </c:extLst>
        </c:ser>
        <c:ser>
          <c:idx val="4"/>
          <c:order val="4"/>
          <c:tx>
            <c:strRef>
              <c:f>'CMA dashboard'!$A$25</c:f>
              <c:strCache>
                <c:ptCount val="1"/>
                <c:pt idx="0">
                  <c:v>Water weed control</c:v>
                </c:pt>
              </c:strCache>
            </c:strRef>
          </c:tx>
          <c:spPr>
            <a:solidFill>
              <a:schemeClr val="accent5"/>
            </a:solidFill>
            <a:ln>
              <a:noFill/>
            </a:ln>
            <a:effectLst/>
          </c:spPr>
          <c:invertIfNegative val="0"/>
          <c:cat>
            <c:strRef>
              <c:f>'CMA dashboard'!$B$21:$K$21</c:f>
              <c:strCache>
                <c:ptCount val="10"/>
                <c:pt idx="0">
                  <c:v>2023</c:v>
                </c:pt>
                <c:pt idx="1">
                  <c:v>2024</c:v>
                </c:pt>
                <c:pt idx="2">
                  <c:v>2025</c:v>
                </c:pt>
                <c:pt idx="3">
                  <c:v>2026</c:v>
                </c:pt>
                <c:pt idx="4">
                  <c:v>2027</c:v>
                </c:pt>
                <c:pt idx="5">
                  <c:v>2028</c:v>
                </c:pt>
                <c:pt idx="6">
                  <c:v>2029</c:v>
                </c:pt>
                <c:pt idx="7">
                  <c:v>2030</c:v>
                </c:pt>
                <c:pt idx="8">
                  <c:v>2031</c:v>
                </c:pt>
                <c:pt idx="9">
                  <c:v>2032</c:v>
                </c:pt>
              </c:strCache>
            </c:strRef>
          </c:cat>
          <c:val>
            <c:numRef>
              <c:f>'CMA dashboard'!$B$25:$K$25</c:f>
              <c:numCache>
                <c:formatCode>_-"R"* #\ ##0_-;\-"R"* #\ ##0_-;_-"R"* "-"??_-;_-@_-</c:formatCode>
                <c:ptCount val="10"/>
                <c:pt idx="0">
                  <c:v>4327042.5835000006</c:v>
                </c:pt>
                <c:pt idx="1">
                  <c:v>4327042.5835000006</c:v>
                </c:pt>
                <c:pt idx="2">
                  <c:v>4327042.5835000006</c:v>
                </c:pt>
                <c:pt idx="3">
                  <c:v>4327042.5835000006</c:v>
                </c:pt>
                <c:pt idx="4">
                  <c:v>4327042.5835000006</c:v>
                </c:pt>
                <c:pt idx="5">
                  <c:v>4327042.5835000006</c:v>
                </c:pt>
                <c:pt idx="6">
                  <c:v>4327042.5835000006</c:v>
                </c:pt>
                <c:pt idx="7">
                  <c:v>4327042.5835000006</c:v>
                </c:pt>
                <c:pt idx="8">
                  <c:v>4327042.5835000006</c:v>
                </c:pt>
                <c:pt idx="9">
                  <c:v>4327042.5835000006</c:v>
                </c:pt>
              </c:numCache>
            </c:numRef>
          </c:val>
          <c:extLst>
            <c:ext xmlns:c16="http://schemas.microsoft.com/office/drawing/2014/chart" uri="{C3380CC4-5D6E-409C-BE32-E72D297353CC}">
              <c16:uniqueId val="{00000005-8D7C-4748-80ED-B4DA5F315CEA}"/>
            </c:ext>
          </c:extLst>
        </c:ser>
        <c:ser>
          <c:idx val="5"/>
          <c:order val="5"/>
          <c:tx>
            <c:strRef>
              <c:f>'CMA dashboard'!$A$26</c:f>
              <c:strCache>
                <c:ptCount val="1"/>
                <c:pt idx="0">
                  <c:v>Water use authorization</c:v>
                </c:pt>
              </c:strCache>
            </c:strRef>
          </c:tx>
          <c:spPr>
            <a:solidFill>
              <a:schemeClr val="accent6"/>
            </a:solidFill>
            <a:ln>
              <a:noFill/>
            </a:ln>
            <a:effectLst/>
          </c:spPr>
          <c:invertIfNegative val="0"/>
          <c:cat>
            <c:strRef>
              <c:f>'CMA dashboard'!$B$21:$K$21</c:f>
              <c:strCache>
                <c:ptCount val="10"/>
                <c:pt idx="0">
                  <c:v>2023</c:v>
                </c:pt>
                <c:pt idx="1">
                  <c:v>2024</c:v>
                </c:pt>
                <c:pt idx="2">
                  <c:v>2025</c:v>
                </c:pt>
                <c:pt idx="3">
                  <c:v>2026</c:v>
                </c:pt>
                <c:pt idx="4">
                  <c:v>2027</c:v>
                </c:pt>
                <c:pt idx="5">
                  <c:v>2028</c:v>
                </c:pt>
                <c:pt idx="6">
                  <c:v>2029</c:v>
                </c:pt>
                <c:pt idx="7">
                  <c:v>2030</c:v>
                </c:pt>
                <c:pt idx="8">
                  <c:v>2031</c:v>
                </c:pt>
                <c:pt idx="9">
                  <c:v>2032</c:v>
                </c:pt>
              </c:strCache>
            </c:strRef>
          </c:cat>
          <c:val>
            <c:numRef>
              <c:f>'CMA dashboard'!$B$26:$K$26</c:f>
              <c:numCache>
                <c:formatCode>_-"R"* #\ ##0_-;\-"R"* #\ ##0_-;_-"R"* "-"??_-;_-@_-</c:formatCode>
                <c:ptCount val="10"/>
                <c:pt idx="0">
                  <c:v>2316993.829423334</c:v>
                </c:pt>
                <c:pt idx="1">
                  <c:v>2316993.829423334</c:v>
                </c:pt>
                <c:pt idx="2">
                  <c:v>2316993.829423334</c:v>
                </c:pt>
                <c:pt idx="3">
                  <c:v>2316993.829423334</c:v>
                </c:pt>
                <c:pt idx="4">
                  <c:v>2316993.829423334</c:v>
                </c:pt>
                <c:pt idx="5">
                  <c:v>2316993.829423334</c:v>
                </c:pt>
                <c:pt idx="6">
                  <c:v>2316993.829423334</c:v>
                </c:pt>
                <c:pt idx="7">
                  <c:v>2316993.829423334</c:v>
                </c:pt>
                <c:pt idx="8">
                  <c:v>2316993.829423334</c:v>
                </c:pt>
                <c:pt idx="9">
                  <c:v>2316993.829423334</c:v>
                </c:pt>
              </c:numCache>
            </c:numRef>
          </c:val>
          <c:extLst>
            <c:ext xmlns:c16="http://schemas.microsoft.com/office/drawing/2014/chart" uri="{C3380CC4-5D6E-409C-BE32-E72D297353CC}">
              <c16:uniqueId val="{00000006-8D7C-4748-80ED-B4DA5F315CEA}"/>
            </c:ext>
          </c:extLst>
        </c:ser>
        <c:ser>
          <c:idx val="6"/>
          <c:order val="6"/>
          <c:tx>
            <c:strRef>
              <c:f>'CMA dashboard'!$A$27</c:f>
              <c:strCache>
                <c:ptCount val="1"/>
                <c:pt idx="0">
                  <c:v>Geo-hydrology and hydrology</c:v>
                </c:pt>
              </c:strCache>
            </c:strRef>
          </c:tx>
          <c:spPr>
            <a:solidFill>
              <a:schemeClr val="accent1">
                <a:lumMod val="60000"/>
              </a:schemeClr>
            </a:solidFill>
            <a:ln>
              <a:noFill/>
            </a:ln>
            <a:effectLst/>
          </c:spPr>
          <c:invertIfNegative val="0"/>
          <c:cat>
            <c:strRef>
              <c:f>'CMA dashboard'!$B$21:$K$21</c:f>
              <c:strCache>
                <c:ptCount val="10"/>
                <c:pt idx="0">
                  <c:v>2023</c:v>
                </c:pt>
                <c:pt idx="1">
                  <c:v>2024</c:v>
                </c:pt>
                <c:pt idx="2">
                  <c:v>2025</c:v>
                </c:pt>
                <c:pt idx="3">
                  <c:v>2026</c:v>
                </c:pt>
                <c:pt idx="4">
                  <c:v>2027</c:v>
                </c:pt>
                <c:pt idx="5">
                  <c:v>2028</c:v>
                </c:pt>
                <c:pt idx="6">
                  <c:v>2029</c:v>
                </c:pt>
                <c:pt idx="7">
                  <c:v>2030</c:v>
                </c:pt>
                <c:pt idx="8">
                  <c:v>2031</c:v>
                </c:pt>
                <c:pt idx="9">
                  <c:v>2032</c:v>
                </c:pt>
              </c:strCache>
            </c:strRef>
          </c:cat>
          <c:val>
            <c:numRef>
              <c:f>'CMA dashboard'!$B$27:$K$27</c:f>
              <c:numCache>
                <c:formatCode>_-"R"* #\ ##0_-;\-"R"* #\ ##0_-;_-"R"* "-"??_-;_-@_-</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7-8D7C-4748-80ED-B4DA5F315CEA}"/>
            </c:ext>
          </c:extLst>
        </c:ser>
        <c:ser>
          <c:idx val="7"/>
          <c:order val="7"/>
          <c:tx>
            <c:strRef>
              <c:f>'CMA dashboard'!$A$28</c:f>
              <c:strCache>
                <c:ptCount val="1"/>
                <c:pt idx="0">
                  <c:v>Resource directed measures</c:v>
                </c:pt>
              </c:strCache>
            </c:strRef>
          </c:tx>
          <c:spPr>
            <a:solidFill>
              <a:schemeClr val="accent2">
                <a:lumMod val="60000"/>
              </a:schemeClr>
            </a:solidFill>
            <a:ln>
              <a:noFill/>
            </a:ln>
            <a:effectLst/>
          </c:spPr>
          <c:invertIfNegative val="0"/>
          <c:cat>
            <c:strRef>
              <c:f>'CMA dashboard'!$B$21:$K$21</c:f>
              <c:strCache>
                <c:ptCount val="10"/>
                <c:pt idx="0">
                  <c:v>2023</c:v>
                </c:pt>
                <c:pt idx="1">
                  <c:v>2024</c:v>
                </c:pt>
                <c:pt idx="2">
                  <c:v>2025</c:v>
                </c:pt>
                <c:pt idx="3">
                  <c:v>2026</c:v>
                </c:pt>
                <c:pt idx="4">
                  <c:v>2027</c:v>
                </c:pt>
                <c:pt idx="5">
                  <c:v>2028</c:v>
                </c:pt>
                <c:pt idx="6">
                  <c:v>2029</c:v>
                </c:pt>
                <c:pt idx="7">
                  <c:v>2030</c:v>
                </c:pt>
                <c:pt idx="8">
                  <c:v>2031</c:v>
                </c:pt>
                <c:pt idx="9">
                  <c:v>2032</c:v>
                </c:pt>
              </c:strCache>
            </c:strRef>
          </c:cat>
          <c:val>
            <c:numRef>
              <c:f>'CMA dashboard'!$B$28:$K$28</c:f>
              <c:numCache>
                <c:formatCode>_-"R"* #\ ##0_-;\-"R"* #\ ##0_-;_-"R"* "-"??_-;_-@_-</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8-8D7C-4748-80ED-B4DA5F315CEA}"/>
            </c:ext>
          </c:extLst>
        </c:ser>
        <c:ser>
          <c:idx val="8"/>
          <c:order val="8"/>
          <c:tx>
            <c:strRef>
              <c:f>'CMA dashboard'!$A$29</c:f>
              <c:strCache>
                <c:ptCount val="1"/>
                <c:pt idx="0">
                  <c:v>Maintenance and restoration of ecosystems</c:v>
                </c:pt>
              </c:strCache>
            </c:strRef>
          </c:tx>
          <c:spPr>
            <a:solidFill>
              <a:schemeClr val="accent3">
                <a:lumMod val="60000"/>
              </a:schemeClr>
            </a:solidFill>
            <a:ln>
              <a:noFill/>
            </a:ln>
            <a:effectLst/>
          </c:spPr>
          <c:invertIfNegative val="0"/>
          <c:cat>
            <c:strRef>
              <c:f>'CMA dashboard'!$B$21:$K$21</c:f>
              <c:strCache>
                <c:ptCount val="10"/>
                <c:pt idx="0">
                  <c:v>2023</c:v>
                </c:pt>
                <c:pt idx="1">
                  <c:v>2024</c:v>
                </c:pt>
                <c:pt idx="2">
                  <c:v>2025</c:v>
                </c:pt>
                <c:pt idx="3">
                  <c:v>2026</c:v>
                </c:pt>
                <c:pt idx="4">
                  <c:v>2027</c:v>
                </c:pt>
                <c:pt idx="5">
                  <c:v>2028</c:v>
                </c:pt>
                <c:pt idx="6">
                  <c:v>2029</c:v>
                </c:pt>
                <c:pt idx="7">
                  <c:v>2030</c:v>
                </c:pt>
                <c:pt idx="8">
                  <c:v>2031</c:v>
                </c:pt>
                <c:pt idx="9">
                  <c:v>2032</c:v>
                </c:pt>
              </c:strCache>
            </c:strRef>
          </c:cat>
          <c:val>
            <c:numRef>
              <c:f>'CMA dashboard'!$B$29:$K$29</c:f>
              <c:numCache>
                <c:formatCode>_-"R"* #\ ##0_-;\-"R"* #\ ##0_-;_-"R"* "-"??_-;_-@_-</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9-8D7C-4748-80ED-B4DA5F315CEA}"/>
            </c:ext>
          </c:extLst>
        </c:ser>
        <c:ser>
          <c:idx val="9"/>
          <c:order val="9"/>
          <c:tx>
            <c:strRef>
              <c:f>'CMA dashboard'!$A$30</c:f>
              <c:strCache>
                <c:ptCount val="1"/>
                <c:pt idx="0">
                  <c:v>WRM programmes</c:v>
                </c:pt>
              </c:strCache>
            </c:strRef>
          </c:tx>
          <c:spPr>
            <a:solidFill>
              <a:schemeClr val="accent4">
                <a:lumMod val="60000"/>
              </a:schemeClr>
            </a:solidFill>
            <a:ln>
              <a:noFill/>
            </a:ln>
            <a:effectLst/>
          </c:spPr>
          <c:invertIfNegative val="0"/>
          <c:cat>
            <c:strRef>
              <c:f>'CMA dashboard'!$B$21:$K$21</c:f>
              <c:strCache>
                <c:ptCount val="10"/>
                <c:pt idx="0">
                  <c:v>2023</c:v>
                </c:pt>
                <c:pt idx="1">
                  <c:v>2024</c:v>
                </c:pt>
                <c:pt idx="2">
                  <c:v>2025</c:v>
                </c:pt>
                <c:pt idx="3">
                  <c:v>2026</c:v>
                </c:pt>
                <c:pt idx="4">
                  <c:v>2027</c:v>
                </c:pt>
                <c:pt idx="5">
                  <c:v>2028</c:v>
                </c:pt>
                <c:pt idx="6">
                  <c:v>2029</c:v>
                </c:pt>
                <c:pt idx="7">
                  <c:v>2030</c:v>
                </c:pt>
                <c:pt idx="8">
                  <c:v>2031</c:v>
                </c:pt>
                <c:pt idx="9">
                  <c:v>2032</c:v>
                </c:pt>
              </c:strCache>
            </c:strRef>
          </c:cat>
          <c:val>
            <c:numRef>
              <c:f>'CMA dashboard'!$B$30:$K$30</c:f>
              <c:numCache>
                <c:formatCode>_-"R"* #\ ##0_-;\-"R"* #\ ##0_-;_-"R"* "-"??_-;_-@_-</c:formatCode>
                <c:ptCount val="10"/>
                <c:pt idx="0">
                  <c:v>20015932.392431997</c:v>
                </c:pt>
                <c:pt idx="1">
                  <c:v>20015932.392431997</c:v>
                </c:pt>
                <c:pt idx="2">
                  <c:v>20015932.392431997</c:v>
                </c:pt>
                <c:pt idx="3">
                  <c:v>20015932.392431997</c:v>
                </c:pt>
                <c:pt idx="4">
                  <c:v>20015932.392431997</c:v>
                </c:pt>
                <c:pt idx="5">
                  <c:v>20015932.392431997</c:v>
                </c:pt>
                <c:pt idx="6">
                  <c:v>20015932.392431997</c:v>
                </c:pt>
                <c:pt idx="7">
                  <c:v>20015932.392431997</c:v>
                </c:pt>
                <c:pt idx="8">
                  <c:v>20015932.392431997</c:v>
                </c:pt>
                <c:pt idx="9">
                  <c:v>20015932.392431997</c:v>
                </c:pt>
              </c:numCache>
            </c:numRef>
          </c:val>
          <c:extLst>
            <c:ext xmlns:c16="http://schemas.microsoft.com/office/drawing/2014/chart" uri="{C3380CC4-5D6E-409C-BE32-E72D297353CC}">
              <c16:uniqueId val="{0000000A-8D7C-4748-80ED-B4DA5F315CEA}"/>
            </c:ext>
          </c:extLst>
        </c:ser>
        <c:ser>
          <c:idx val="10"/>
          <c:order val="10"/>
          <c:tx>
            <c:strRef>
              <c:f>'CMA dashboard'!$A$31</c:f>
              <c:strCache>
                <c:ptCount val="1"/>
                <c:pt idx="0">
                  <c:v>Control and enforcement</c:v>
                </c:pt>
              </c:strCache>
            </c:strRef>
          </c:tx>
          <c:spPr>
            <a:solidFill>
              <a:schemeClr val="accent5">
                <a:lumMod val="60000"/>
              </a:schemeClr>
            </a:solidFill>
            <a:ln>
              <a:noFill/>
            </a:ln>
            <a:effectLst/>
          </c:spPr>
          <c:invertIfNegative val="0"/>
          <c:cat>
            <c:strRef>
              <c:f>'CMA dashboard'!$B$21:$K$21</c:f>
              <c:strCache>
                <c:ptCount val="10"/>
                <c:pt idx="0">
                  <c:v>2023</c:v>
                </c:pt>
                <c:pt idx="1">
                  <c:v>2024</c:v>
                </c:pt>
                <c:pt idx="2">
                  <c:v>2025</c:v>
                </c:pt>
                <c:pt idx="3">
                  <c:v>2026</c:v>
                </c:pt>
                <c:pt idx="4">
                  <c:v>2027</c:v>
                </c:pt>
                <c:pt idx="5">
                  <c:v>2028</c:v>
                </c:pt>
                <c:pt idx="6">
                  <c:v>2029</c:v>
                </c:pt>
                <c:pt idx="7">
                  <c:v>2030</c:v>
                </c:pt>
                <c:pt idx="8">
                  <c:v>2031</c:v>
                </c:pt>
                <c:pt idx="9">
                  <c:v>2032</c:v>
                </c:pt>
              </c:strCache>
            </c:strRef>
          </c:cat>
          <c:val>
            <c:numRef>
              <c:f>'CMA dashboard'!$B$31:$K$31</c:f>
              <c:numCache>
                <c:formatCode>_-"R"* #\ ##0_-;\-"R"* #\ ##0_-;_-"R"* "-"??_-;_-@_-</c:formatCode>
                <c:ptCount val="10"/>
                <c:pt idx="0">
                  <c:v>744239.4670000003</c:v>
                </c:pt>
                <c:pt idx="1">
                  <c:v>744239.4670000003</c:v>
                </c:pt>
                <c:pt idx="2">
                  <c:v>744239.4670000003</c:v>
                </c:pt>
                <c:pt idx="3">
                  <c:v>744239.4670000003</c:v>
                </c:pt>
                <c:pt idx="4">
                  <c:v>744239.4670000003</c:v>
                </c:pt>
                <c:pt idx="5">
                  <c:v>744239.4670000003</c:v>
                </c:pt>
                <c:pt idx="6">
                  <c:v>744239.4670000003</c:v>
                </c:pt>
                <c:pt idx="7">
                  <c:v>744239.4670000003</c:v>
                </c:pt>
                <c:pt idx="8">
                  <c:v>744239.4670000003</c:v>
                </c:pt>
                <c:pt idx="9">
                  <c:v>744239.4670000003</c:v>
                </c:pt>
              </c:numCache>
            </c:numRef>
          </c:val>
          <c:extLst>
            <c:ext xmlns:c16="http://schemas.microsoft.com/office/drawing/2014/chart" uri="{C3380CC4-5D6E-409C-BE32-E72D297353CC}">
              <c16:uniqueId val="{0000000B-8D7C-4748-80ED-B4DA5F315CEA}"/>
            </c:ext>
          </c:extLst>
        </c:ser>
        <c:ser>
          <c:idx val="11"/>
          <c:order val="11"/>
          <c:tx>
            <c:strRef>
              <c:f>'CMA dashboard'!$A$32</c:f>
              <c:strCache>
                <c:ptCount val="1"/>
                <c:pt idx="0">
                  <c:v>Functional Support</c:v>
                </c:pt>
              </c:strCache>
            </c:strRef>
          </c:tx>
          <c:spPr>
            <a:solidFill>
              <a:schemeClr val="accent6">
                <a:lumMod val="60000"/>
              </a:schemeClr>
            </a:solidFill>
            <a:ln>
              <a:noFill/>
            </a:ln>
            <a:effectLst/>
          </c:spPr>
          <c:invertIfNegative val="0"/>
          <c:cat>
            <c:strRef>
              <c:f>'CMA dashboard'!$B$21:$K$21</c:f>
              <c:strCache>
                <c:ptCount val="10"/>
                <c:pt idx="0">
                  <c:v>2023</c:v>
                </c:pt>
                <c:pt idx="1">
                  <c:v>2024</c:v>
                </c:pt>
                <c:pt idx="2">
                  <c:v>2025</c:v>
                </c:pt>
                <c:pt idx="3">
                  <c:v>2026</c:v>
                </c:pt>
                <c:pt idx="4">
                  <c:v>2027</c:v>
                </c:pt>
                <c:pt idx="5">
                  <c:v>2028</c:v>
                </c:pt>
                <c:pt idx="6">
                  <c:v>2029</c:v>
                </c:pt>
                <c:pt idx="7">
                  <c:v>2030</c:v>
                </c:pt>
                <c:pt idx="8">
                  <c:v>2031</c:v>
                </c:pt>
                <c:pt idx="9">
                  <c:v>2032</c:v>
                </c:pt>
              </c:strCache>
            </c:strRef>
          </c:cat>
          <c:val>
            <c:numRef>
              <c:f>'CMA dashboard'!$B$32:$K$32</c:f>
              <c:numCache>
                <c:formatCode>_-"R"* #\ ##0_-;\-"R"* #\ ##0_-;_-"R"* "-"??_-;_-@_-</c:formatCode>
                <c:ptCount val="10"/>
                <c:pt idx="0">
                  <c:v>16490864.411249999</c:v>
                </c:pt>
                <c:pt idx="1">
                  <c:v>16490864.411249999</c:v>
                </c:pt>
                <c:pt idx="2">
                  <c:v>16490864.411249999</c:v>
                </c:pt>
                <c:pt idx="3">
                  <c:v>16490864.411249999</c:v>
                </c:pt>
                <c:pt idx="4">
                  <c:v>16490864.411249999</c:v>
                </c:pt>
                <c:pt idx="5">
                  <c:v>16490864.411249999</c:v>
                </c:pt>
                <c:pt idx="6">
                  <c:v>16490864.411249999</c:v>
                </c:pt>
                <c:pt idx="7">
                  <c:v>16490864.411249999</c:v>
                </c:pt>
                <c:pt idx="8">
                  <c:v>16490864.411249999</c:v>
                </c:pt>
                <c:pt idx="9">
                  <c:v>16490864.411249999</c:v>
                </c:pt>
              </c:numCache>
            </c:numRef>
          </c:val>
          <c:extLst>
            <c:ext xmlns:c16="http://schemas.microsoft.com/office/drawing/2014/chart" uri="{C3380CC4-5D6E-409C-BE32-E72D297353CC}">
              <c16:uniqueId val="{00000001-3018-43F5-8474-42553EAA3C77}"/>
            </c:ext>
          </c:extLst>
        </c:ser>
        <c:dLbls>
          <c:showLegendKey val="0"/>
          <c:showVal val="0"/>
          <c:showCatName val="0"/>
          <c:showSerName val="0"/>
          <c:showPercent val="0"/>
          <c:showBubbleSize val="0"/>
        </c:dLbls>
        <c:gapWidth val="50"/>
        <c:overlap val="100"/>
        <c:axId val="634782200"/>
        <c:axId val="634782856"/>
      </c:barChart>
      <c:catAx>
        <c:axId val="6347822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4782856"/>
        <c:crosses val="autoZero"/>
        <c:auto val="1"/>
        <c:lblAlgn val="ctr"/>
        <c:lblOffset val="100"/>
        <c:noMultiLvlLbl val="0"/>
      </c:catAx>
      <c:valAx>
        <c:axId val="634782856"/>
        <c:scaling>
          <c:orientation val="minMax"/>
        </c:scaling>
        <c:delete val="0"/>
        <c:axPos val="l"/>
        <c:majorGridlines>
          <c:spPr>
            <a:ln w="9525" cap="flat" cmpd="sng" algn="ctr">
              <a:solidFill>
                <a:schemeClr val="tx1">
                  <a:lumMod val="15000"/>
                  <a:lumOff val="85000"/>
                </a:schemeClr>
              </a:solidFill>
              <a:round/>
            </a:ln>
            <a:effectLst/>
          </c:spPr>
        </c:majorGridlines>
        <c:numFmt formatCode="_(&quot;R&quot;* #,##0_);_(&quot;R&quot;* \(#,##0\);_(&quot;R&quot;* &quot;-&quot;_);_(@_)"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4782200"/>
        <c:crosses val="autoZero"/>
        <c:crossBetween val="between"/>
        <c:dispUnits>
          <c:builtInUnit val="millions"/>
          <c:dispUnitsLbl>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R Million</a:t>
                  </a:r>
                </a:p>
              </c:rich>
            </c:tx>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spPr>
        <a:noFill/>
        <a:ln>
          <a:noFill/>
        </a:ln>
        <a:effectLst/>
      </c:spPr>
    </c:plotArea>
    <c:legend>
      <c:legendPos val="r"/>
      <c:layout>
        <c:manualLayout>
          <c:xMode val="edge"/>
          <c:yMode val="edge"/>
          <c:x val="0.66944271190513127"/>
          <c:y val="0.17272136811106331"/>
          <c:w val="0.29038508293388249"/>
          <c:h val="0.7392831212092527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71805</xdr:colOff>
      <xdr:row>16</xdr:row>
      <xdr:rowOff>41276</xdr:rowOff>
    </xdr:from>
    <xdr:to>
      <xdr:col>12</xdr:col>
      <xdr:colOff>167686</xdr:colOff>
      <xdr:row>27</xdr:row>
      <xdr:rowOff>434975</xdr:rowOff>
    </xdr:to>
    <xdr:graphicFrame macro="">
      <xdr:nvGraphicFramePr>
        <xdr:cNvPr id="2" name="Chart 1">
          <a:extLst>
            <a:ext uri="{FF2B5EF4-FFF2-40B4-BE49-F238E27FC236}">
              <a16:creationId xmlns:a16="http://schemas.microsoft.com/office/drawing/2014/main" id="{FA76BC7D-D68E-4FDE-8316-AED4B457BAB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96470</xdr:colOff>
      <xdr:row>37</xdr:row>
      <xdr:rowOff>57882</xdr:rowOff>
    </xdr:from>
    <xdr:to>
      <xdr:col>4</xdr:col>
      <xdr:colOff>508000</xdr:colOff>
      <xdr:row>51</xdr:row>
      <xdr:rowOff>37353</xdr:rowOff>
    </xdr:to>
    <xdr:graphicFrame macro="">
      <xdr:nvGraphicFramePr>
        <xdr:cNvPr id="3" name="Chart 2">
          <a:extLst>
            <a:ext uri="{FF2B5EF4-FFF2-40B4-BE49-F238E27FC236}">
              <a16:creationId xmlns:a16="http://schemas.microsoft.com/office/drawing/2014/main" id="{63CB8D51-0118-4451-A9C2-58E085C245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562907</xdr:colOff>
      <xdr:row>37</xdr:row>
      <xdr:rowOff>69849</xdr:rowOff>
    </xdr:from>
    <xdr:to>
      <xdr:col>9</xdr:col>
      <xdr:colOff>527050</xdr:colOff>
      <xdr:row>51</xdr:row>
      <xdr:rowOff>25400</xdr:rowOff>
    </xdr:to>
    <xdr:sp macro="" textlink="">
      <xdr:nvSpPr>
        <xdr:cNvPr id="4" name="Rectangle 3">
          <a:extLst>
            <a:ext uri="{FF2B5EF4-FFF2-40B4-BE49-F238E27FC236}">
              <a16:creationId xmlns:a16="http://schemas.microsoft.com/office/drawing/2014/main" id="{460F2FD4-1C21-4AEF-A2BA-11658EDB939D}"/>
            </a:ext>
          </a:extLst>
        </xdr:cNvPr>
        <xdr:cNvSpPr/>
      </xdr:nvSpPr>
      <xdr:spPr>
        <a:xfrm>
          <a:off x="6633507" y="6083299"/>
          <a:ext cx="5012393" cy="2533651"/>
        </a:xfrm>
        <a:prstGeom prst="rect">
          <a:avLst/>
        </a:prstGeom>
        <a:solidFill>
          <a:schemeClr val="accent5">
            <a:lumMod val="20000"/>
            <a:lumOff val="8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100" b="1" u="sng" baseline="0">
              <a:solidFill>
                <a:sysClr val="windowText" lastClr="000000"/>
              </a:solidFill>
              <a:latin typeface="+mn-lt"/>
              <a:ea typeface="+mn-ea"/>
              <a:cs typeface="+mn-cs"/>
            </a:rPr>
            <a:t>MODEL USER NOTES</a:t>
          </a:r>
        </a:p>
        <a:p>
          <a:pPr algn="l"/>
          <a:r>
            <a:rPr lang="en-ZA" sz="1100" baseline="0">
              <a:solidFill>
                <a:sysClr val="windowText" lastClr="000000"/>
              </a:solidFill>
              <a:latin typeface="+mn-lt"/>
              <a:ea typeface="+mn-ea"/>
              <a:cs typeface="+mn-cs"/>
            </a:rPr>
            <a:t>This sheet presents the overall summary of the median value for funding required for all CMAs. </a:t>
          </a:r>
        </a:p>
        <a:p>
          <a:pPr algn="l"/>
          <a:r>
            <a:rPr lang="en-ZA" sz="1100" baseline="0">
              <a:solidFill>
                <a:sysClr val="windowText" lastClr="000000"/>
              </a:solidFill>
              <a:latin typeface="+mn-lt"/>
              <a:ea typeface="+mn-ea"/>
              <a:cs typeface="+mn-cs"/>
            </a:rPr>
            <a:t>The graphs show the overall quantum of funding required for the coming 10 years, based on the assumptions entered in the 'Data inputs' and 'Summary dashboard' sheets. </a:t>
          </a:r>
        </a:p>
        <a:p>
          <a:pPr algn="l"/>
          <a:endParaRPr lang="en-ZA" sz="1100" baseline="0">
            <a:solidFill>
              <a:sysClr val="windowText" lastClr="000000"/>
            </a:solidFill>
            <a:latin typeface="+mn-lt"/>
            <a:ea typeface="+mn-ea"/>
            <a:cs typeface="+mn-cs"/>
          </a:endParaRPr>
        </a:p>
        <a:p>
          <a:pPr algn="l"/>
          <a:r>
            <a:rPr lang="en-ZA" sz="1100" baseline="0">
              <a:solidFill>
                <a:sysClr val="windowText" lastClr="000000"/>
              </a:solidFill>
              <a:latin typeface="+mn-lt"/>
              <a:ea typeface="+mn-ea"/>
              <a:cs typeface="+mn-cs"/>
            </a:rPr>
            <a:t>The values in the graph change in time in two ways:</a:t>
          </a:r>
        </a:p>
        <a:p>
          <a:pPr algn="l"/>
          <a:r>
            <a:rPr lang="en-ZA" sz="1100" baseline="0">
              <a:solidFill>
                <a:sysClr val="windowText" lastClr="000000"/>
              </a:solidFill>
              <a:latin typeface="+mn-lt"/>
              <a:ea typeface="+mn-ea"/>
              <a:cs typeface="+mn-cs"/>
            </a:rPr>
            <a:t>1) The extent to which parliament is subsidising the public interest. If parliament is planning to decrease or increase support over time, the graph will show this. This is amended on the Inputs sheet. </a:t>
          </a:r>
        </a:p>
        <a:p>
          <a:pPr algn="l"/>
          <a:r>
            <a:rPr lang="en-ZA" sz="1100" baseline="0">
              <a:solidFill>
                <a:sysClr val="windowText" lastClr="000000"/>
              </a:solidFill>
              <a:latin typeface="+mn-lt"/>
              <a:ea typeface="+mn-ea"/>
              <a:cs typeface="+mn-cs"/>
            </a:rPr>
            <a:t>2) The CMAs will take on new functions over time. The years in which the new functions are taken over by the CMAs is entered into the 'CMA function inputs' sheet. </a:t>
          </a:r>
        </a:p>
      </xdr:txBody>
    </xdr:sp>
    <xdr:clientData/>
  </xdr:twoCellAnchor>
  <xdr:twoCellAnchor>
    <xdr:from>
      <xdr:col>0</xdr:col>
      <xdr:colOff>31093</xdr:colOff>
      <xdr:row>5</xdr:row>
      <xdr:rowOff>15413</xdr:rowOff>
    </xdr:from>
    <xdr:to>
      <xdr:col>2</xdr:col>
      <xdr:colOff>957460</xdr:colOff>
      <xdr:row>14</xdr:row>
      <xdr:rowOff>16330</xdr:rowOff>
    </xdr:to>
    <xdr:graphicFrame macro="">
      <xdr:nvGraphicFramePr>
        <xdr:cNvPr id="5" name="Chart 4">
          <a:extLst>
            <a:ext uri="{FF2B5EF4-FFF2-40B4-BE49-F238E27FC236}">
              <a16:creationId xmlns:a16="http://schemas.microsoft.com/office/drawing/2014/main" id="{A6FAC68A-57E3-43D7-B645-D960A0FAC8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26176</xdr:colOff>
      <xdr:row>0</xdr:row>
      <xdr:rowOff>38099</xdr:rowOff>
    </xdr:from>
    <xdr:to>
      <xdr:col>12</xdr:col>
      <xdr:colOff>14624</xdr:colOff>
      <xdr:row>12</xdr:row>
      <xdr:rowOff>133350</xdr:rowOff>
    </xdr:to>
    <xdr:sp macro="" textlink="">
      <xdr:nvSpPr>
        <xdr:cNvPr id="6" name="Rectangle 5">
          <a:extLst>
            <a:ext uri="{FF2B5EF4-FFF2-40B4-BE49-F238E27FC236}">
              <a16:creationId xmlns:a16="http://schemas.microsoft.com/office/drawing/2014/main" id="{80BB5D46-5B70-4CCD-93B6-7A2E0A38CD4E}"/>
            </a:ext>
          </a:extLst>
        </xdr:cNvPr>
        <xdr:cNvSpPr/>
      </xdr:nvSpPr>
      <xdr:spPr>
        <a:xfrm>
          <a:off x="4864876" y="38099"/>
          <a:ext cx="8265673" cy="2247901"/>
        </a:xfrm>
        <a:prstGeom prst="rect">
          <a:avLst/>
        </a:prstGeom>
        <a:solidFill>
          <a:schemeClr val="accent5">
            <a:lumMod val="20000"/>
            <a:lumOff val="8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100" baseline="0">
              <a:solidFill>
                <a:sysClr val="windowText" lastClr="000000"/>
              </a:solidFill>
            </a:rPr>
            <a:t>There are three approaches that can be taken when costing the activities of the CMAs. The full details of the different approaches are available in the accompanying report</a:t>
          </a:r>
        </a:p>
        <a:p>
          <a:pPr algn="l"/>
          <a:r>
            <a:rPr lang="en-ZA" sz="1100" b="1" baseline="0">
              <a:solidFill>
                <a:sysClr val="windowText" lastClr="000000"/>
              </a:solidFill>
            </a:rPr>
            <a:t>1) Unit cost approach</a:t>
          </a:r>
        </a:p>
        <a:p>
          <a:pPr algn="l"/>
          <a:r>
            <a:rPr lang="en-ZA" sz="1100" baseline="0">
              <a:solidFill>
                <a:sysClr val="windowText" lastClr="000000"/>
              </a:solidFill>
            </a:rPr>
            <a:t>The unit cost approaches uses the weighted average expenditure on different functions as the basis for a unit cost, which is in turn multiplied by a selected physical attribute of the CMA to determine the weighted average cost of the function for that CMA. Note that where there is no unit cost data available for a function, the budgeted figures in the 'CMA function inputs' sheet will be applied' </a:t>
          </a:r>
        </a:p>
        <a:p>
          <a:pPr algn="l"/>
          <a:r>
            <a:rPr lang="en-ZA" sz="1100" b="1" baseline="0">
              <a:solidFill>
                <a:sysClr val="windowText" lastClr="000000"/>
              </a:solidFill>
            </a:rPr>
            <a:t>2) Budgeted expenditure approach</a:t>
          </a:r>
        </a:p>
        <a:p>
          <a:pPr algn="l"/>
          <a:r>
            <a:rPr lang="en-ZA" sz="1100" baseline="0">
              <a:solidFill>
                <a:sysClr val="windowText" lastClr="000000"/>
              </a:solidFill>
            </a:rPr>
            <a:t>CMA's produce annual unconstrained estimates of annual expenditure required to perform the function adequately. This value could be used as the basis for the determination of the public interest component.</a:t>
          </a:r>
        </a:p>
        <a:p>
          <a:pPr algn="l"/>
          <a:r>
            <a:rPr lang="en-ZA" sz="1100" b="1" baseline="0">
              <a:solidFill>
                <a:sysClr val="windowText" lastClr="000000"/>
              </a:solidFill>
            </a:rPr>
            <a:t>3) Minimum cost approach</a:t>
          </a:r>
        </a:p>
        <a:p>
          <a:pPr algn="l"/>
          <a:r>
            <a:rPr lang="en-ZA" sz="1100" baseline="0">
              <a:solidFill>
                <a:sysClr val="windowText" lastClr="000000"/>
              </a:solidFill>
            </a:rPr>
            <a:t>The minimum cost approach is the lesser of the subsidy calculated by either the Unit cost or the Budgeted expenditure </a:t>
          </a:r>
          <a:r>
            <a:rPr lang="en-ZA" sz="1100" baseline="0">
              <a:solidFill>
                <a:sysClr val="windowText" lastClr="000000"/>
              </a:solidFill>
              <a:latin typeface="+mn-lt"/>
              <a:ea typeface="+mn-ea"/>
              <a:cs typeface="+mn-cs"/>
            </a:rPr>
            <a:t>approach. This calculation is for each function, so the cost may be a combination of the Unit Cost and Budgeted Expenditure approach. </a:t>
          </a:r>
        </a:p>
      </xdr:txBody>
    </xdr:sp>
    <xdr:clientData/>
  </xdr:twoCellAnchor>
  <xdr:twoCellAnchor>
    <xdr:from>
      <xdr:col>12</xdr:col>
      <xdr:colOff>273051</xdr:colOff>
      <xdr:row>17</xdr:row>
      <xdr:rowOff>19050</xdr:rowOff>
    </xdr:from>
    <xdr:to>
      <xdr:col>17</xdr:col>
      <xdr:colOff>63500</xdr:colOff>
      <xdr:row>27</xdr:row>
      <xdr:rowOff>425450</xdr:rowOff>
    </xdr:to>
    <xdr:sp macro="" textlink="">
      <xdr:nvSpPr>
        <xdr:cNvPr id="7" name="Rectangle 6">
          <a:extLst>
            <a:ext uri="{FF2B5EF4-FFF2-40B4-BE49-F238E27FC236}">
              <a16:creationId xmlns:a16="http://schemas.microsoft.com/office/drawing/2014/main" id="{09D6DAEB-4D7C-4CBF-9309-C8B67A8632DB}"/>
            </a:ext>
          </a:extLst>
        </xdr:cNvPr>
        <xdr:cNvSpPr/>
      </xdr:nvSpPr>
      <xdr:spPr>
        <a:xfrm>
          <a:off x="14020801" y="2095500"/>
          <a:ext cx="2838449" cy="2381250"/>
        </a:xfrm>
        <a:prstGeom prst="rect">
          <a:avLst/>
        </a:prstGeom>
        <a:solidFill>
          <a:schemeClr val="accent5">
            <a:lumMod val="20000"/>
            <a:lumOff val="8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100" b="1" u="sng" baseline="0">
              <a:solidFill>
                <a:sysClr val="windowText" lastClr="000000"/>
              </a:solidFill>
              <a:latin typeface="+mn-lt"/>
              <a:ea typeface="+mn-ea"/>
              <a:cs typeface="+mn-cs"/>
            </a:rPr>
            <a:t>MODEL USER NOTES</a:t>
          </a:r>
        </a:p>
        <a:p>
          <a:pPr algn="l"/>
          <a:r>
            <a:rPr lang="en-ZA" sz="1100" baseline="0">
              <a:solidFill>
                <a:sysClr val="windowText" lastClr="000000"/>
              </a:solidFill>
              <a:latin typeface="+mn-lt"/>
              <a:ea typeface="+mn-ea"/>
              <a:cs typeface="+mn-cs"/>
            </a:rPr>
            <a:t>This graph depicts the public interest funding requirements for the CMAs and proto-CMAs, based on the model inputs and assumptions made. </a:t>
          </a:r>
        </a:p>
        <a:p>
          <a:pPr algn="l"/>
          <a:r>
            <a:rPr lang="en-ZA" sz="1100" baseline="0">
              <a:solidFill>
                <a:sysClr val="windowText" lastClr="000000"/>
              </a:solidFill>
              <a:latin typeface="+mn-lt"/>
              <a:ea typeface="+mn-ea"/>
              <a:cs typeface="+mn-cs"/>
            </a:rPr>
            <a:t>The whiskers on the column chart illustrate the upper and lower bounds of the public interest funding requirements, and are based on the spread of proportions of the functions' public interest component entered into the Data inputs sheet.</a:t>
          </a:r>
        </a:p>
        <a:p>
          <a:pPr algn="l"/>
          <a:endParaRPr lang="en-ZA" sz="1100" baseline="0">
            <a:solidFill>
              <a:srgbClr val="FF0000"/>
            </a:solidFill>
          </a:endParaRPr>
        </a:p>
      </xdr:txBody>
    </xdr:sp>
    <xdr:clientData/>
  </xdr:twoCellAnchor>
  <xdr:twoCellAnchor>
    <xdr:from>
      <xdr:col>3</xdr:col>
      <xdr:colOff>35701</xdr:colOff>
      <xdr:row>12</xdr:row>
      <xdr:rowOff>180975</xdr:rowOff>
    </xdr:from>
    <xdr:to>
      <xdr:col>9</xdr:col>
      <xdr:colOff>750077</xdr:colOff>
      <xdr:row>13</xdr:row>
      <xdr:rowOff>438151</xdr:rowOff>
    </xdr:to>
    <xdr:sp macro="" textlink="">
      <xdr:nvSpPr>
        <xdr:cNvPr id="8" name="Rectangle 7">
          <a:extLst>
            <a:ext uri="{FF2B5EF4-FFF2-40B4-BE49-F238E27FC236}">
              <a16:creationId xmlns:a16="http://schemas.microsoft.com/office/drawing/2014/main" id="{4E169F81-52E1-4F7D-A81D-B7E9165730E6}"/>
            </a:ext>
          </a:extLst>
        </xdr:cNvPr>
        <xdr:cNvSpPr/>
      </xdr:nvSpPr>
      <xdr:spPr>
        <a:xfrm>
          <a:off x="4874401" y="2333625"/>
          <a:ext cx="6486526" cy="447676"/>
        </a:xfrm>
        <a:prstGeom prst="rect">
          <a:avLst/>
        </a:prstGeom>
        <a:solidFill>
          <a:schemeClr val="accent5">
            <a:lumMod val="20000"/>
            <a:lumOff val="8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100" baseline="0">
              <a:solidFill>
                <a:sysClr val="windowText" lastClr="000000"/>
              </a:solidFill>
            </a:rPr>
            <a:t>The level of parliamentary support is the level to which fiscal support is provided to subsidise the public interest functions of CMAs.  </a:t>
          </a:r>
        </a:p>
      </xdr:txBody>
    </xdr:sp>
    <xdr:clientData/>
  </xdr:twoCellAnchor>
  <xdr:twoCellAnchor>
    <xdr:from>
      <xdr:col>3</xdr:col>
      <xdr:colOff>45226</xdr:colOff>
      <xdr:row>13</xdr:row>
      <xdr:rowOff>495300</xdr:rowOff>
    </xdr:from>
    <xdr:to>
      <xdr:col>9</xdr:col>
      <xdr:colOff>778651</xdr:colOff>
      <xdr:row>15</xdr:row>
      <xdr:rowOff>180976</xdr:rowOff>
    </xdr:to>
    <xdr:sp macro="" textlink="">
      <xdr:nvSpPr>
        <xdr:cNvPr id="9" name="Rectangle 8">
          <a:extLst>
            <a:ext uri="{FF2B5EF4-FFF2-40B4-BE49-F238E27FC236}">
              <a16:creationId xmlns:a16="http://schemas.microsoft.com/office/drawing/2014/main" id="{05B991BA-0E54-4FDC-90A5-66617498F561}"/>
            </a:ext>
          </a:extLst>
        </xdr:cNvPr>
        <xdr:cNvSpPr/>
      </xdr:nvSpPr>
      <xdr:spPr>
        <a:xfrm>
          <a:off x="4883926" y="2838450"/>
          <a:ext cx="6505575" cy="447676"/>
        </a:xfrm>
        <a:prstGeom prst="rect">
          <a:avLst/>
        </a:prstGeom>
        <a:solidFill>
          <a:schemeClr val="accent5">
            <a:lumMod val="20000"/>
            <a:lumOff val="8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100" baseline="0">
              <a:solidFill>
                <a:sysClr val="windowText" lastClr="000000"/>
              </a:solidFill>
            </a:rPr>
            <a:t>The base year is the starting year of the analysis. </a:t>
          </a:r>
        </a:p>
        <a:p>
          <a:pPr algn="l"/>
          <a:r>
            <a:rPr lang="en-ZA" sz="1100" baseline="0">
              <a:solidFill>
                <a:sysClr val="windowText" lastClr="000000"/>
              </a:solidFill>
            </a:rPr>
            <a:t>Please ensure that the format of the financial year entered is YYYY/YY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62949</xdr:colOff>
      <xdr:row>0</xdr:row>
      <xdr:rowOff>34372</xdr:rowOff>
    </xdr:from>
    <xdr:to>
      <xdr:col>9</xdr:col>
      <xdr:colOff>933450</xdr:colOff>
      <xdr:row>19</xdr:row>
      <xdr:rowOff>9524</xdr:rowOff>
    </xdr:to>
    <xdr:graphicFrame macro="">
      <xdr:nvGraphicFramePr>
        <xdr:cNvPr id="2" name="Chart 1">
          <a:extLst>
            <a:ext uri="{FF2B5EF4-FFF2-40B4-BE49-F238E27FC236}">
              <a16:creationId xmlns:a16="http://schemas.microsoft.com/office/drawing/2014/main" id="{1B98D8BE-664E-4147-8094-3157401C295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1016000</xdr:colOff>
      <xdr:row>0</xdr:row>
      <xdr:rowOff>67235</xdr:rowOff>
    </xdr:from>
    <xdr:to>
      <xdr:col>15</xdr:col>
      <xdr:colOff>95249</xdr:colOff>
      <xdr:row>18</xdr:row>
      <xdr:rowOff>343648</xdr:rowOff>
    </xdr:to>
    <xdr:sp macro="" textlink="">
      <xdr:nvSpPr>
        <xdr:cNvPr id="3" name="Rectangle 2">
          <a:extLst>
            <a:ext uri="{FF2B5EF4-FFF2-40B4-BE49-F238E27FC236}">
              <a16:creationId xmlns:a16="http://schemas.microsoft.com/office/drawing/2014/main" id="{9DDE74C8-558B-499C-A0B2-3431887D0676}"/>
            </a:ext>
          </a:extLst>
        </xdr:cNvPr>
        <xdr:cNvSpPr/>
      </xdr:nvSpPr>
      <xdr:spPr>
        <a:xfrm>
          <a:off x="12169588" y="67235"/>
          <a:ext cx="3651249" cy="3690472"/>
        </a:xfrm>
        <a:prstGeom prst="rect">
          <a:avLst/>
        </a:prstGeom>
        <a:solidFill>
          <a:schemeClr val="accent5">
            <a:lumMod val="20000"/>
            <a:lumOff val="8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100" b="1" u="sng">
              <a:solidFill>
                <a:sysClr val="windowText" lastClr="000000"/>
              </a:solidFill>
            </a:rPr>
            <a:t>MODEL</a:t>
          </a:r>
          <a:r>
            <a:rPr lang="en-ZA" sz="1100" b="1" u="sng" baseline="0">
              <a:solidFill>
                <a:sysClr val="windowText" lastClr="000000"/>
              </a:solidFill>
            </a:rPr>
            <a:t> USER NOTES</a:t>
          </a:r>
        </a:p>
        <a:p>
          <a:pPr algn="l"/>
          <a:endParaRPr lang="en-ZA" sz="1100" baseline="0">
            <a:solidFill>
              <a:sysClr val="windowText" lastClr="000000"/>
            </a:solidFill>
          </a:endParaRPr>
        </a:p>
        <a:p>
          <a:pPr algn="l"/>
          <a:r>
            <a:rPr lang="en-ZA" sz="1100" baseline="0">
              <a:solidFill>
                <a:sysClr val="windowText" lastClr="000000"/>
              </a:solidFill>
            </a:rPr>
            <a:t>This sheet presents the upper bound, median and lower bound funding requirements for the selected CMA. The graph shows the median funding requirements for the selected CMA, by CMA function. </a:t>
          </a:r>
        </a:p>
        <a:p>
          <a:pPr algn="l"/>
          <a:endParaRPr lang="en-ZA" sz="1100" baseline="0">
            <a:solidFill>
              <a:sysClr val="windowText" lastClr="000000"/>
            </a:solidFill>
          </a:endParaRPr>
        </a:p>
        <a:p>
          <a:pPr algn="l"/>
          <a:r>
            <a:rPr lang="en-ZA" sz="1100" baseline="0">
              <a:solidFill>
                <a:sysClr val="windowText" lastClr="000000"/>
              </a:solidFill>
            </a:rPr>
            <a:t>The values in the graph change in time in two ways:</a:t>
          </a:r>
        </a:p>
        <a:p>
          <a:pPr algn="l"/>
          <a:r>
            <a:rPr lang="en-ZA" sz="1100" baseline="0">
              <a:solidFill>
                <a:sysClr val="windowText" lastClr="000000"/>
              </a:solidFill>
            </a:rPr>
            <a:t>1) The extent to which parliament is subsidising the public interest. If parliament is planning to decrease or increase support over time, the graph will show this. This is amended on the Inputs sheet. </a:t>
          </a:r>
        </a:p>
        <a:p>
          <a:pPr algn="l"/>
          <a:r>
            <a:rPr lang="en-ZA" sz="1100" baseline="0">
              <a:solidFill>
                <a:sysClr val="windowText" lastClr="000000"/>
              </a:solidFill>
            </a:rPr>
            <a:t>2) The CMAs will take on new functions over time. The years in which the new functions are taken over by the CMAs is entered into the 'CMA function inputs' sheet. </a:t>
          </a:r>
        </a:p>
        <a:p>
          <a:pPr algn="l"/>
          <a:endParaRPr lang="en-ZA" sz="1100" baseline="0">
            <a:solidFill>
              <a:sysClr val="windowText" lastClr="00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lang="en-ZA" sz="1100" baseline="0">
              <a:solidFill>
                <a:sysClr val="windowText" lastClr="000000"/>
              </a:solidFill>
              <a:effectLst/>
              <a:latin typeface="+mn-lt"/>
              <a:ea typeface="+mn-ea"/>
              <a:cs typeface="+mn-cs"/>
            </a:rPr>
            <a:t>The costing approach is selected on the 'Summary dashboard' sheet.</a:t>
          </a:r>
          <a:endParaRPr lang="en-ZA">
            <a:solidFill>
              <a:sysClr val="windowText" lastClr="000000"/>
            </a:solidFill>
            <a:effectLst/>
          </a:endParaRPr>
        </a:p>
        <a:p>
          <a:pPr algn="l"/>
          <a:endParaRPr lang="en-ZA" sz="1100" baseline="0">
            <a:solidFill>
              <a:sysClr val="windowText" lastClr="000000"/>
            </a:solidFill>
          </a:endParaRPr>
        </a:p>
        <a:p>
          <a:pPr algn="l"/>
          <a:endParaRPr lang="en-ZA" sz="1100" baseline="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79375</xdr:colOff>
      <xdr:row>12</xdr:row>
      <xdr:rowOff>323850</xdr:rowOff>
    </xdr:from>
    <xdr:to>
      <xdr:col>7</xdr:col>
      <xdr:colOff>342900</xdr:colOff>
      <xdr:row>24</xdr:row>
      <xdr:rowOff>38100</xdr:rowOff>
    </xdr:to>
    <xdr:sp macro="" textlink="">
      <xdr:nvSpPr>
        <xdr:cNvPr id="3" name="Rectangle 2">
          <a:extLst>
            <a:ext uri="{FF2B5EF4-FFF2-40B4-BE49-F238E27FC236}">
              <a16:creationId xmlns:a16="http://schemas.microsoft.com/office/drawing/2014/main" id="{E28046EC-FB86-4009-913D-04AA85DED8B7}"/>
            </a:ext>
          </a:extLst>
        </xdr:cNvPr>
        <xdr:cNvSpPr/>
      </xdr:nvSpPr>
      <xdr:spPr>
        <a:xfrm>
          <a:off x="4441825" y="2457450"/>
          <a:ext cx="4454525" cy="2190750"/>
        </a:xfrm>
        <a:prstGeom prst="rect">
          <a:avLst/>
        </a:prstGeom>
        <a:solidFill>
          <a:schemeClr val="accent5">
            <a:lumMod val="20000"/>
            <a:lumOff val="8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100" baseline="0">
              <a:solidFill>
                <a:sysClr val="windowText" lastClr="000000"/>
              </a:solidFill>
            </a:rPr>
            <a:t>The percentages listed for the upper bound and lower bounds of public interest, per function, have been derived from a consultative process which investigated the extent to which each function (and the activities within each of the functions) is in the public interest. </a:t>
          </a:r>
        </a:p>
        <a:p>
          <a:pPr algn="l"/>
          <a:endParaRPr lang="en-ZA" sz="1100" baseline="0">
            <a:solidFill>
              <a:sysClr val="windowText" lastClr="000000"/>
            </a:solidFill>
          </a:endParaRPr>
        </a:p>
        <a:p>
          <a:pPr algn="l"/>
          <a:r>
            <a:rPr lang="en-ZA" sz="1100" baseline="0">
              <a:solidFill>
                <a:sysClr val="windowText" lastClr="000000"/>
              </a:solidFill>
            </a:rPr>
            <a:t>The upper bound represents the highest estimate of the CMA's pubic interest component for that function, whereas the lower bound is the lowest estimate. The median value is calculated as the midpoint of these two bounds. </a:t>
          </a:r>
        </a:p>
        <a:p>
          <a:pPr algn="l"/>
          <a:endParaRPr lang="en-ZA" sz="1100" baseline="0">
            <a:solidFill>
              <a:sysClr val="windowText" lastClr="000000"/>
            </a:solidFill>
          </a:endParaRPr>
        </a:p>
        <a:p>
          <a:pPr algn="l"/>
          <a:r>
            <a:rPr lang="en-ZA" sz="1100" baseline="0">
              <a:solidFill>
                <a:sysClr val="windowText" lastClr="000000"/>
              </a:solidFill>
            </a:rPr>
            <a:t>The costing is very sensitive to these assumptions, so care should be taken when amending these inputs. </a:t>
          </a:r>
        </a:p>
      </xdr:txBody>
    </xdr:sp>
    <xdr:clientData/>
  </xdr:twoCellAnchor>
  <xdr:twoCellAnchor>
    <xdr:from>
      <xdr:col>4</xdr:col>
      <xdr:colOff>47625</xdr:colOff>
      <xdr:row>3</xdr:row>
      <xdr:rowOff>9524</xdr:rowOff>
    </xdr:from>
    <xdr:to>
      <xdr:col>7</xdr:col>
      <xdr:colOff>352425</xdr:colOff>
      <xdr:row>8</xdr:row>
      <xdr:rowOff>142874</xdr:rowOff>
    </xdr:to>
    <xdr:sp macro="" textlink="">
      <xdr:nvSpPr>
        <xdr:cNvPr id="4" name="Rectangle 3">
          <a:extLst>
            <a:ext uri="{FF2B5EF4-FFF2-40B4-BE49-F238E27FC236}">
              <a16:creationId xmlns:a16="http://schemas.microsoft.com/office/drawing/2014/main" id="{671964F0-B009-4BF3-8A97-89F6E656229F}"/>
            </a:ext>
          </a:extLst>
        </xdr:cNvPr>
        <xdr:cNvSpPr/>
      </xdr:nvSpPr>
      <xdr:spPr>
        <a:xfrm>
          <a:off x="5924550" y="1285874"/>
          <a:ext cx="2133600" cy="1038225"/>
        </a:xfrm>
        <a:prstGeom prst="rect">
          <a:avLst/>
        </a:prstGeom>
        <a:solidFill>
          <a:schemeClr val="accent5">
            <a:lumMod val="20000"/>
            <a:lumOff val="8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100" baseline="0">
              <a:solidFill>
                <a:sysClr val="windowText" lastClr="000000"/>
              </a:solidFill>
            </a:rPr>
            <a:t>These physical properties of the CMAs are the basis for the Unit Costing Approach. These can be updated when new information becomes available. </a:t>
          </a:r>
        </a:p>
      </xdr:txBody>
    </xdr:sp>
    <xdr:clientData/>
  </xdr:twoCellAnchor>
  <xdr:twoCellAnchor>
    <xdr:from>
      <xdr:col>7</xdr:col>
      <xdr:colOff>158891</xdr:colOff>
      <xdr:row>27</xdr:row>
      <xdr:rowOff>287408</xdr:rowOff>
    </xdr:from>
    <xdr:to>
      <xdr:col>15</xdr:col>
      <xdr:colOff>174625</xdr:colOff>
      <xdr:row>35</xdr:row>
      <xdr:rowOff>123825</xdr:rowOff>
    </xdr:to>
    <xdr:sp macro="" textlink="">
      <xdr:nvSpPr>
        <xdr:cNvPr id="11" name="Rectangle 10">
          <a:extLst>
            <a:ext uri="{FF2B5EF4-FFF2-40B4-BE49-F238E27FC236}">
              <a16:creationId xmlns:a16="http://schemas.microsoft.com/office/drawing/2014/main" id="{59A26D05-4C8E-4643-93DE-7864E44C501D}"/>
            </a:ext>
          </a:extLst>
        </xdr:cNvPr>
        <xdr:cNvSpPr/>
      </xdr:nvSpPr>
      <xdr:spPr>
        <a:xfrm>
          <a:off x="8712341" y="5259458"/>
          <a:ext cx="4883009" cy="1646167"/>
        </a:xfrm>
        <a:prstGeom prst="rect">
          <a:avLst/>
        </a:prstGeom>
        <a:solidFill>
          <a:schemeClr val="accent5">
            <a:lumMod val="20000"/>
            <a:lumOff val="8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en-ZA" sz="1100" b="0" u="none">
              <a:solidFill>
                <a:sysClr val="windowText" lastClr="000000"/>
              </a:solidFill>
              <a:effectLst/>
              <a:latin typeface="+mn-lt"/>
              <a:ea typeface="+mn-ea"/>
              <a:cs typeface="+mn-cs"/>
            </a:rPr>
            <a:t>An unconstrained budget</a:t>
          </a:r>
          <a:r>
            <a:rPr lang="en-ZA" sz="1100" b="0" u="none" baseline="0">
              <a:solidFill>
                <a:sysClr val="windowText" lastClr="000000"/>
              </a:solidFill>
              <a:effectLst/>
              <a:latin typeface="+mn-lt"/>
              <a:ea typeface="+mn-ea"/>
              <a:cs typeface="+mn-cs"/>
            </a:rPr>
            <a:t> is developed annually by the CMAs. This is a zero-based budget that is developed prior to the application of any tariff caps, and represents the CMA's best estimate of required expenditure to fulfil the function. The unconstrained budget data should be entered into the yellow cells in the table above. </a:t>
          </a:r>
        </a:p>
        <a:p>
          <a:endParaRPr lang="en-ZA" sz="1100" b="0" u="none" baseline="0">
            <a:solidFill>
              <a:sysClr val="windowText" lastClr="000000"/>
            </a:solidFill>
            <a:effectLst/>
            <a:latin typeface="+mn-lt"/>
            <a:ea typeface="+mn-ea"/>
            <a:cs typeface="+mn-cs"/>
          </a:endParaRPr>
        </a:p>
        <a:p>
          <a:r>
            <a:rPr lang="en-ZA" sz="1100" b="0" u="none" baseline="0">
              <a:solidFill>
                <a:sysClr val="windowText" lastClr="000000"/>
              </a:solidFill>
              <a:effectLst/>
              <a:latin typeface="+mn-lt"/>
              <a:ea typeface="+mn-ea"/>
              <a:cs typeface="+mn-cs"/>
            </a:rPr>
            <a:t>Note that the unconstrained budget may not represent the desired staffing arrangement, so this number may need to be modified to account for a full organogram.</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60324</xdr:colOff>
      <xdr:row>1</xdr:row>
      <xdr:rowOff>60325</xdr:rowOff>
    </xdr:from>
    <xdr:to>
      <xdr:col>8</xdr:col>
      <xdr:colOff>431799</xdr:colOff>
      <xdr:row>13</xdr:row>
      <xdr:rowOff>0</xdr:rowOff>
    </xdr:to>
    <xdr:sp macro="" textlink="">
      <xdr:nvSpPr>
        <xdr:cNvPr id="4" name="Rectangle 3">
          <a:extLst>
            <a:ext uri="{FF2B5EF4-FFF2-40B4-BE49-F238E27FC236}">
              <a16:creationId xmlns:a16="http://schemas.microsoft.com/office/drawing/2014/main" id="{36308904-2323-432B-BB4F-A29D6E3375A8}"/>
            </a:ext>
          </a:extLst>
        </xdr:cNvPr>
        <xdr:cNvSpPr/>
      </xdr:nvSpPr>
      <xdr:spPr>
        <a:xfrm>
          <a:off x="5156199" y="250825"/>
          <a:ext cx="6210300" cy="2330450"/>
        </a:xfrm>
        <a:prstGeom prst="rect">
          <a:avLst/>
        </a:prstGeom>
        <a:solidFill>
          <a:schemeClr val="accent5">
            <a:lumMod val="20000"/>
            <a:lumOff val="8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en-ZA" sz="1100" baseline="0">
              <a:solidFill>
                <a:sysClr val="windowText" lastClr="000000"/>
              </a:solidFill>
              <a:effectLst/>
              <a:latin typeface="+mn-lt"/>
              <a:ea typeface="+mn-ea"/>
              <a:cs typeface="+mn-cs"/>
            </a:rPr>
            <a:t>The unit costs have been calculated based on a rigorous analysis of the historical and projected levels of expenditure of CMAs and proto-CMAs. The details of this analysis are contained in the report which accompanies this model. </a:t>
          </a:r>
        </a:p>
        <a:p>
          <a:endParaRPr lang="en-ZA" sz="1100" baseline="0">
            <a:solidFill>
              <a:sysClr val="windowText" lastClr="000000"/>
            </a:solidFill>
            <a:effectLst/>
            <a:latin typeface="+mn-lt"/>
            <a:ea typeface="+mn-ea"/>
            <a:cs typeface="+mn-cs"/>
          </a:endParaRPr>
        </a:p>
        <a:p>
          <a:r>
            <a:rPr lang="en-ZA" sz="1100" baseline="0">
              <a:solidFill>
                <a:sysClr val="windowText" lastClr="000000"/>
              </a:solidFill>
              <a:effectLst/>
              <a:latin typeface="+mn-lt"/>
              <a:ea typeface="+mn-ea"/>
              <a:cs typeface="+mn-cs"/>
            </a:rPr>
            <a:t>The unit basis is the physical property to which the unit cost is applied. The model allows for the user to amend the unit base, but this should only be done in conjunction with a change to the unit cost. </a:t>
          </a:r>
        </a:p>
        <a:p>
          <a:endParaRPr lang="en-ZA" sz="1100" baseline="0">
            <a:solidFill>
              <a:sysClr val="windowText" lastClr="000000"/>
            </a:solidFill>
            <a:effectLst/>
            <a:latin typeface="+mn-lt"/>
            <a:ea typeface="+mn-ea"/>
            <a:cs typeface="+mn-cs"/>
          </a:endParaRPr>
        </a:p>
        <a:p>
          <a:r>
            <a:rPr lang="en-ZA" sz="1100" baseline="0">
              <a:solidFill>
                <a:sysClr val="windowText" lastClr="000000"/>
              </a:solidFill>
              <a:effectLst/>
              <a:latin typeface="+mn-lt"/>
              <a:ea typeface="+mn-ea"/>
              <a:cs typeface="+mn-cs"/>
            </a:rPr>
            <a:t>The unit costs for several functions are unknown as there are currently no CMAs or proto-CMAs which are undertaking these functions. </a:t>
          </a:r>
        </a:p>
        <a:p>
          <a:endParaRPr lang="en-ZA" sz="1100" baseline="0">
            <a:solidFill>
              <a:sysClr val="windowText" lastClr="000000"/>
            </a:solidFill>
            <a:effectLst/>
            <a:latin typeface="+mn-lt"/>
            <a:ea typeface="+mn-ea"/>
            <a:cs typeface="+mn-cs"/>
          </a:endParaRPr>
        </a:p>
        <a:p>
          <a:r>
            <a:rPr lang="en-ZA" sz="1100" baseline="0">
              <a:solidFill>
                <a:sysClr val="windowText" lastClr="000000"/>
              </a:solidFill>
              <a:effectLst/>
              <a:latin typeface="+mn-lt"/>
              <a:ea typeface="+mn-ea"/>
              <a:cs typeface="+mn-cs"/>
            </a:rPr>
            <a:t>The costing is very sensitive to the unit costs and unit base, so care should be taken when amending these inputs. </a:t>
          </a:r>
          <a:endParaRPr lang="en-ZA">
            <a:solidFill>
              <a:sysClr val="windowText" lastClr="000000"/>
            </a:solidFill>
            <a:effectLst/>
          </a:endParaRPr>
        </a:p>
        <a:p>
          <a:endParaRPr lang="en-ZA">
            <a:solidFill>
              <a:sysClr val="windowText" lastClr="000000"/>
            </a:solidFill>
            <a:effectLst/>
          </a:endParaRPr>
        </a:p>
      </xdr:txBody>
    </xdr:sp>
    <xdr:clientData/>
  </xdr:twoCellAnchor>
  <xdr:twoCellAnchor>
    <xdr:from>
      <xdr:col>12</xdr:col>
      <xdr:colOff>114299</xdr:colOff>
      <xdr:row>15</xdr:row>
      <xdr:rowOff>27215</xdr:rowOff>
    </xdr:from>
    <xdr:to>
      <xdr:col>17</xdr:col>
      <xdr:colOff>152400</xdr:colOff>
      <xdr:row>21</xdr:row>
      <xdr:rowOff>133350</xdr:rowOff>
    </xdr:to>
    <xdr:sp macro="" textlink="">
      <xdr:nvSpPr>
        <xdr:cNvPr id="3" name="Rectangle 2">
          <a:extLst>
            <a:ext uri="{FF2B5EF4-FFF2-40B4-BE49-F238E27FC236}">
              <a16:creationId xmlns:a16="http://schemas.microsoft.com/office/drawing/2014/main" id="{510BE9D2-2E7A-4EEB-A5DB-A322DA88593B}"/>
            </a:ext>
          </a:extLst>
        </xdr:cNvPr>
        <xdr:cNvSpPr/>
      </xdr:nvSpPr>
      <xdr:spPr>
        <a:xfrm>
          <a:off x="16588013" y="2830286"/>
          <a:ext cx="3185887" cy="1385207"/>
        </a:xfrm>
        <a:prstGeom prst="rect">
          <a:avLst/>
        </a:prstGeom>
        <a:solidFill>
          <a:schemeClr val="accent5">
            <a:lumMod val="20000"/>
            <a:lumOff val="8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en-ZA" sz="1100" baseline="0">
              <a:solidFill>
                <a:sysClr val="windowText" lastClr="000000"/>
              </a:solidFill>
              <a:effectLst/>
              <a:latin typeface="+mn-lt"/>
              <a:ea typeface="+mn-ea"/>
              <a:cs typeface="+mn-cs"/>
            </a:rPr>
            <a:t>This table uses a binary 1 or 0 to indicate the starting functional arrangements for the different CMAs. </a:t>
          </a:r>
        </a:p>
        <a:p>
          <a:r>
            <a:rPr lang="en-ZA" sz="1100" baseline="0">
              <a:solidFill>
                <a:sysClr val="windowText" lastClr="000000"/>
              </a:solidFill>
              <a:effectLst/>
              <a:latin typeface="+mn-lt"/>
              <a:ea typeface="+mn-ea"/>
              <a:cs typeface="+mn-cs"/>
            </a:rPr>
            <a:t>A 1 indicates that the CMA will be performing the function in the base year.</a:t>
          </a:r>
        </a:p>
        <a:p>
          <a:r>
            <a:rPr lang="en-ZA" sz="1100" baseline="0">
              <a:solidFill>
                <a:sysClr val="windowText" lastClr="000000"/>
              </a:solidFill>
              <a:effectLst/>
              <a:latin typeface="+mn-lt"/>
              <a:ea typeface="+mn-ea"/>
              <a:cs typeface="+mn-cs"/>
            </a:rPr>
            <a:t>A 0 indicates that the CMA is not performing the function in the base year.</a:t>
          </a:r>
        </a:p>
        <a:p>
          <a:endParaRPr lang="en-ZA" sz="1100" baseline="0">
            <a:solidFill>
              <a:sysClr val="windowText" lastClr="000000"/>
            </a:solidFill>
            <a:effectLst/>
            <a:latin typeface="+mn-lt"/>
            <a:ea typeface="+mn-ea"/>
            <a:cs typeface="+mn-cs"/>
          </a:endParaRPr>
        </a:p>
        <a:p>
          <a:endParaRPr lang="en-ZA">
            <a:solidFill>
              <a:sysClr val="windowText" lastClr="000000"/>
            </a:solidFill>
            <a:effectLst/>
          </a:endParaRPr>
        </a:p>
      </xdr:txBody>
    </xdr:sp>
    <xdr:clientData/>
  </xdr:twoCellAnchor>
  <xdr:twoCellAnchor>
    <xdr:from>
      <xdr:col>12</xdr:col>
      <xdr:colOff>87086</xdr:colOff>
      <xdr:row>23</xdr:row>
      <xdr:rowOff>319768</xdr:rowOff>
    </xdr:from>
    <xdr:to>
      <xdr:col>17</xdr:col>
      <xdr:colOff>125187</xdr:colOff>
      <xdr:row>30</xdr:row>
      <xdr:rowOff>18143</xdr:rowOff>
    </xdr:to>
    <xdr:sp macro="" textlink="">
      <xdr:nvSpPr>
        <xdr:cNvPr id="5" name="Rectangle 4">
          <a:extLst>
            <a:ext uri="{FF2B5EF4-FFF2-40B4-BE49-F238E27FC236}">
              <a16:creationId xmlns:a16="http://schemas.microsoft.com/office/drawing/2014/main" id="{694AA91E-E11E-4C53-9040-4C34A80A2F94}"/>
            </a:ext>
          </a:extLst>
        </xdr:cNvPr>
        <xdr:cNvSpPr/>
      </xdr:nvSpPr>
      <xdr:spPr>
        <a:xfrm>
          <a:off x="16560800" y="4764768"/>
          <a:ext cx="3185887" cy="1158875"/>
        </a:xfrm>
        <a:prstGeom prst="rect">
          <a:avLst/>
        </a:prstGeom>
        <a:solidFill>
          <a:schemeClr val="accent5">
            <a:lumMod val="20000"/>
            <a:lumOff val="8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en-ZA" sz="1100" baseline="0">
              <a:solidFill>
                <a:sysClr val="windowText" lastClr="000000"/>
              </a:solidFill>
              <a:effectLst/>
              <a:latin typeface="+mn-lt"/>
              <a:ea typeface="+mn-ea"/>
              <a:cs typeface="+mn-cs"/>
            </a:rPr>
            <a:t>This table indicates the year in which the new function will be delegated to the CMA. </a:t>
          </a:r>
        </a:p>
        <a:p>
          <a:endParaRPr lang="en-ZA" sz="1100" baseline="0">
            <a:solidFill>
              <a:sysClr val="windowText" lastClr="000000"/>
            </a:solidFill>
            <a:effectLst/>
            <a:latin typeface="+mn-lt"/>
            <a:ea typeface="+mn-ea"/>
            <a:cs typeface="+mn-cs"/>
          </a:endParaRPr>
        </a:p>
        <a:p>
          <a:r>
            <a:rPr lang="en-ZA" sz="1100" baseline="0">
              <a:solidFill>
                <a:sysClr val="windowText" lastClr="000000"/>
              </a:solidFill>
              <a:effectLst/>
              <a:latin typeface="+mn-lt"/>
              <a:ea typeface="+mn-ea"/>
              <a:cs typeface="+mn-cs"/>
            </a:rPr>
            <a:t>By default, all functions are assumed to be delegated in the base year. This data can be overwritten when better data is available.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B4BB06-8E2D-4855-859F-1F163B0C56AC}">
  <dimension ref="A1:H21"/>
  <sheetViews>
    <sheetView tabSelected="1" workbookViewId="0">
      <selection activeCell="A2" sqref="A2"/>
    </sheetView>
  </sheetViews>
  <sheetFormatPr defaultColWidth="8.7109375" defaultRowHeight="15" x14ac:dyDescent="0.25"/>
  <cols>
    <col min="1" max="1" width="1.140625" style="23" customWidth="1"/>
    <col min="2" max="2" width="6.85546875" style="23" customWidth="1"/>
    <col min="3" max="3" width="85.5703125" style="23" customWidth="1"/>
    <col min="4" max="16384" width="8.7109375" style="23"/>
  </cols>
  <sheetData>
    <row r="1" spans="1:5" x14ac:dyDescent="0.25">
      <c r="A1" s="23" t="s">
        <v>62</v>
      </c>
      <c r="B1" s="23" t="s">
        <v>62</v>
      </c>
    </row>
    <row r="2" spans="1:5" ht="64.5" customHeight="1" x14ac:dyDescent="0.25">
      <c r="B2" s="98" t="s">
        <v>118</v>
      </c>
      <c r="C2" s="99"/>
    </row>
    <row r="3" spans="1:5" ht="45" customHeight="1" x14ac:dyDescent="0.25">
      <c r="B3" s="100" t="s">
        <v>105</v>
      </c>
      <c r="C3" s="101"/>
    </row>
    <row r="4" spans="1:5" x14ac:dyDescent="0.25">
      <c r="B4" s="45"/>
      <c r="C4" s="73" t="s">
        <v>106</v>
      </c>
    </row>
    <row r="5" spans="1:5" x14ac:dyDescent="0.25">
      <c r="B5" s="74"/>
      <c r="C5" s="73" t="s">
        <v>107</v>
      </c>
    </row>
    <row r="6" spans="1:5" ht="31.5" customHeight="1" x14ac:dyDescent="0.25">
      <c r="B6" s="100" t="s">
        <v>115</v>
      </c>
      <c r="C6" s="101"/>
    </row>
    <row r="7" spans="1:5" ht="34.5" customHeight="1" x14ac:dyDescent="0.25">
      <c r="B7" s="100" t="s">
        <v>98</v>
      </c>
      <c r="C7" s="101"/>
    </row>
    <row r="8" spans="1:5" ht="44.25" customHeight="1" x14ac:dyDescent="0.25">
      <c r="B8" s="100" t="s">
        <v>99</v>
      </c>
      <c r="C8" s="101"/>
    </row>
    <row r="9" spans="1:5" ht="48" customHeight="1" x14ac:dyDescent="0.25">
      <c r="B9" s="100" t="s">
        <v>100</v>
      </c>
      <c r="C9" s="101"/>
    </row>
    <row r="10" spans="1:5" x14ac:dyDescent="0.25">
      <c r="B10" s="100" t="s">
        <v>101</v>
      </c>
      <c r="C10" s="101"/>
      <c r="E10" s="23" t="s">
        <v>62</v>
      </c>
    </row>
    <row r="11" spans="1:5" ht="28.5" customHeight="1" x14ac:dyDescent="0.25">
      <c r="B11" s="100" t="s">
        <v>102</v>
      </c>
      <c r="C11" s="101"/>
    </row>
    <row r="12" spans="1:5" x14ac:dyDescent="0.25">
      <c r="B12" s="100" t="s">
        <v>104</v>
      </c>
      <c r="C12" s="101"/>
    </row>
    <row r="13" spans="1:5" x14ac:dyDescent="0.25">
      <c r="B13" s="100" t="s">
        <v>116</v>
      </c>
      <c r="C13" s="101"/>
    </row>
    <row r="14" spans="1:5" x14ac:dyDescent="0.25">
      <c r="B14" s="100" t="s">
        <v>103</v>
      </c>
      <c r="C14" s="101"/>
    </row>
    <row r="15" spans="1:5" ht="32.25" customHeight="1" x14ac:dyDescent="0.25">
      <c r="B15" s="100" t="s">
        <v>97</v>
      </c>
      <c r="C15" s="101"/>
    </row>
    <row r="16" spans="1:5" ht="4.5" customHeight="1" x14ac:dyDescent="0.25">
      <c r="B16" s="92"/>
      <c r="C16" s="93"/>
    </row>
    <row r="17" spans="2:8" x14ac:dyDescent="0.25">
      <c r="B17" s="100" t="s">
        <v>117</v>
      </c>
      <c r="C17" s="101"/>
    </row>
    <row r="18" spans="2:8" ht="4.5" customHeight="1" x14ac:dyDescent="0.25">
      <c r="B18" s="72"/>
      <c r="C18" s="73"/>
    </row>
    <row r="19" spans="2:8" x14ac:dyDescent="0.25">
      <c r="B19" s="100" t="s">
        <v>65</v>
      </c>
      <c r="C19" s="101"/>
    </row>
    <row r="20" spans="2:8" ht="4.5" customHeight="1" x14ac:dyDescent="0.25">
      <c r="B20" s="72"/>
      <c r="C20" s="73"/>
    </row>
    <row r="21" spans="2:8" ht="30" customHeight="1" x14ac:dyDescent="0.25">
      <c r="B21" s="102" t="s">
        <v>108</v>
      </c>
      <c r="C21" s="103"/>
      <c r="H21" s="46"/>
    </row>
  </sheetData>
  <mergeCells count="15">
    <mergeCell ref="B2:C2"/>
    <mergeCell ref="B3:C3"/>
    <mergeCell ref="B7:C7"/>
    <mergeCell ref="B21:C21"/>
    <mergeCell ref="B15:C15"/>
    <mergeCell ref="B14:C14"/>
    <mergeCell ref="B13:C13"/>
    <mergeCell ref="B12:C12"/>
    <mergeCell ref="B11:C11"/>
    <mergeCell ref="B10:C10"/>
    <mergeCell ref="B9:C9"/>
    <mergeCell ref="B8:C8"/>
    <mergeCell ref="B6:C6"/>
    <mergeCell ref="B19:C19"/>
    <mergeCell ref="B17:C17"/>
  </mergeCells>
  <dataValidations disablePrompts="1" count="1">
    <dataValidation type="textLength" operator="equal" allowBlank="1" showInputMessage="1" showErrorMessage="1" sqref="B5" xr:uid="{DE9DF358-2011-42D8-910C-C3040B74D59B}">
      <formula1>7</formula1>
    </dataValidation>
  </dataValidation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4AD43-52E7-4D81-A05A-3BB2A5CF3AD7}">
  <dimension ref="A1:N104"/>
  <sheetViews>
    <sheetView workbookViewId="0">
      <selection activeCell="A3" sqref="A3"/>
    </sheetView>
  </sheetViews>
  <sheetFormatPr defaultRowHeight="15" x14ac:dyDescent="0.25"/>
  <cols>
    <col min="1" max="1" width="34" customWidth="1"/>
    <col min="2" max="3" width="12.5703125" customWidth="1"/>
    <col min="4" max="4" width="13.85546875" customWidth="1"/>
    <col min="5" max="13" width="12.5703125" customWidth="1"/>
    <col min="14" max="14" width="12.140625" bestFit="1" customWidth="1"/>
  </cols>
  <sheetData>
    <row r="1" spans="1:11" s="3" customFormat="1" x14ac:dyDescent="0.25">
      <c r="A1" s="2" t="s">
        <v>31</v>
      </c>
    </row>
    <row r="2" spans="1:11" x14ac:dyDescent="0.25">
      <c r="A2" t="s">
        <v>19</v>
      </c>
      <c r="B2" s="12" t="str">
        <f>'Summary dashboard'!C4</f>
        <v>2023</v>
      </c>
      <c r="C2" s="12">
        <f>B2+1</f>
        <v>2024</v>
      </c>
      <c r="D2" s="12">
        <f t="shared" ref="D2:K2" si="0">C2+1</f>
        <v>2025</v>
      </c>
      <c r="E2" s="12">
        <f t="shared" si="0"/>
        <v>2026</v>
      </c>
      <c r="F2" s="12">
        <f t="shared" si="0"/>
        <v>2027</v>
      </c>
      <c r="G2" s="12">
        <f t="shared" si="0"/>
        <v>2028</v>
      </c>
      <c r="H2" s="12">
        <f t="shared" si="0"/>
        <v>2029</v>
      </c>
      <c r="I2" s="12">
        <f t="shared" si="0"/>
        <v>2030</v>
      </c>
      <c r="J2" s="12">
        <f t="shared" si="0"/>
        <v>2031</v>
      </c>
      <c r="K2" s="12">
        <f t="shared" si="0"/>
        <v>2032</v>
      </c>
    </row>
    <row r="3" spans="1:11" x14ac:dyDescent="0.25">
      <c r="A3" s="4" t="s">
        <v>35</v>
      </c>
      <c r="B3">
        <f>INDEX('CMA function inputs'!$B$17:$L$22,MATCH($A$1,'CMA function inputs'!$A$17:$A$22,0),MATCH(A3,'CMA function inputs'!$B$16:$L$16,0))</f>
        <v>1</v>
      </c>
      <c r="C3">
        <f>IF($B3=1,1,IF(INDEX('CMA function inputs'!$B$25:$L$30,MATCH('Inkomati-Pongola CMA'!$A$1,'CMA function inputs'!$A$25:$A$30,0),MATCH('Inkomati-Pongola CMA'!$A3,'CMA function inputs'!$B$24:$L$24,0))&lt;=C$2,1,0))</f>
        <v>1</v>
      </c>
      <c r="D3">
        <f>IF($B3=1,1,IF(INDEX('CMA function inputs'!$B$25:$L$30,MATCH('Inkomati-Pongola CMA'!$A$1,'CMA function inputs'!$A$25:$A$30,0),MATCH('Inkomati-Pongola CMA'!$A3,'CMA function inputs'!$B$24:$L$24,0))&lt;=D$2,1,0))</f>
        <v>1</v>
      </c>
      <c r="E3">
        <f>IF($B3=1,1,IF(INDEX('CMA function inputs'!$B$25:$L$30,MATCH('Inkomati-Pongola CMA'!$A$1,'CMA function inputs'!$A$25:$A$30,0),MATCH('Inkomati-Pongola CMA'!$A3,'CMA function inputs'!$B$24:$L$24,0))&lt;=E$2,1,0))</f>
        <v>1</v>
      </c>
      <c r="F3">
        <f>IF($B3=1,1,IF(INDEX('CMA function inputs'!$B$25:$L$30,MATCH('Inkomati-Pongola CMA'!$A$1,'CMA function inputs'!$A$25:$A$30,0),MATCH('Inkomati-Pongola CMA'!$A3,'CMA function inputs'!$B$24:$L$24,0))&lt;=F$2,1,0))</f>
        <v>1</v>
      </c>
      <c r="G3">
        <f>IF($B3=1,1,IF(INDEX('CMA function inputs'!$B$25:$L$30,MATCH('Inkomati-Pongola CMA'!$A$1,'CMA function inputs'!$A$25:$A$30,0),MATCH('Inkomati-Pongola CMA'!$A3,'CMA function inputs'!$B$24:$L$24,0))&lt;=G$2,1,0))</f>
        <v>1</v>
      </c>
      <c r="H3">
        <f>IF($B3=1,1,IF(INDEX('CMA function inputs'!$B$25:$L$30,MATCH('Inkomati-Pongola CMA'!$A$1,'CMA function inputs'!$A$25:$A$30,0),MATCH('Inkomati-Pongola CMA'!$A3,'CMA function inputs'!$B$24:$L$24,0))&lt;=H$2,1,0))</f>
        <v>1</v>
      </c>
      <c r="I3">
        <f>IF($B3=1,1,IF(INDEX('CMA function inputs'!$B$25:$L$30,MATCH('Inkomati-Pongola CMA'!$A$1,'CMA function inputs'!$A$25:$A$30,0),MATCH('Inkomati-Pongola CMA'!$A3,'CMA function inputs'!$B$24:$L$24,0))&lt;=I$2,1,0))</f>
        <v>1</v>
      </c>
      <c r="J3">
        <f>IF($B3=1,1,IF(INDEX('CMA function inputs'!$B$25:$L$30,MATCH('Inkomati-Pongola CMA'!$A$1,'CMA function inputs'!$A$25:$A$30,0),MATCH('Inkomati-Pongola CMA'!$A3,'CMA function inputs'!$B$24:$L$24,0))&lt;=J$2,1,0))</f>
        <v>1</v>
      </c>
      <c r="K3">
        <f>IF($B3=1,1,IF(INDEX('CMA function inputs'!$B$25:$L$30,MATCH('Inkomati-Pongola CMA'!$A$1,'CMA function inputs'!$A$25:$A$30,0),MATCH('Inkomati-Pongola CMA'!$A3,'CMA function inputs'!$B$24:$L$24,0))&lt;=K$2,1,0))</f>
        <v>1</v>
      </c>
    </row>
    <row r="4" spans="1:11" x14ac:dyDescent="0.25">
      <c r="A4" s="4" t="s">
        <v>36</v>
      </c>
      <c r="B4">
        <f>INDEX('CMA function inputs'!$B$17:$L$22,MATCH($A$1,'CMA function inputs'!$A$17:$A$22,0),MATCH(A4,'CMA function inputs'!$B$16:$L$16,0))</f>
        <v>1</v>
      </c>
      <c r="C4">
        <f>IF($B4=1,1,IF(INDEX('CMA function inputs'!$B$25:$L$30,MATCH('Inkomati-Pongola CMA'!$A$1,'CMA function inputs'!$A$25:$A$30,0),MATCH('Inkomati-Pongola CMA'!$A4,'CMA function inputs'!$B$24:$L$24,0))&lt;=C$2,1,0))</f>
        <v>1</v>
      </c>
      <c r="D4">
        <f>IF($B4=1,1,IF(INDEX('CMA function inputs'!$B$25:$L$30,MATCH('Inkomati-Pongola CMA'!$A$1,'CMA function inputs'!$A$25:$A$30,0),MATCH('Inkomati-Pongola CMA'!$A4,'CMA function inputs'!$B$24:$L$24,0))&lt;=D$2,1,0))</f>
        <v>1</v>
      </c>
      <c r="E4">
        <f>IF($B4=1,1,IF(INDEX('CMA function inputs'!$B$25:$L$30,MATCH('Inkomati-Pongola CMA'!$A$1,'CMA function inputs'!$A$25:$A$30,0),MATCH('Inkomati-Pongola CMA'!$A4,'CMA function inputs'!$B$24:$L$24,0))&lt;=E$2,1,0))</f>
        <v>1</v>
      </c>
      <c r="F4">
        <f>IF($B4=1,1,IF(INDEX('CMA function inputs'!$B$25:$L$30,MATCH('Inkomati-Pongola CMA'!$A$1,'CMA function inputs'!$A$25:$A$30,0),MATCH('Inkomati-Pongola CMA'!$A4,'CMA function inputs'!$B$24:$L$24,0))&lt;=F$2,1,0))</f>
        <v>1</v>
      </c>
      <c r="G4">
        <f>IF($B4=1,1,IF(INDEX('CMA function inputs'!$B$25:$L$30,MATCH('Inkomati-Pongola CMA'!$A$1,'CMA function inputs'!$A$25:$A$30,0),MATCH('Inkomati-Pongola CMA'!$A4,'CMA function inputs'!$B$24:$L$24,0))&lt;=G$2,1,0))</f>
        <v>1</v>
      </c>
      <c r="H4">
        <f>IF($B4=1,1,IF(INDEX('CMA function inputs'!$B$25:$L$30,MATCH('Inkomati-Pongola CMA'!$A$1,'CMA function inputs'!$A$25:$A$30,0),MATCH('Inkomati-Pongola CMA'!$A4,'CMA function inputs'!$B$24:$L$24,0))&lt;=H$2,1,0))</f>
        <v>1</v>
      </c>
      <c r="I4">
        <f>IF($B4=1,1,IF(INDEX('CMA function inputs'!$B$25:$L$30,MATCH('Inkomati-Pongola CMA'!$A$1,'CMA function inputs'!$A$25:$A$30,0),MATCH('Inkomati-Pongola CMA'!$A4,'CMA function inputs'!$B$24:$L$24,0))&lt;=I$2,1,0))</f>
        <v>1</v>
      </c>
      <c r="J4">
        <f>IF($B4=1,1,IF(INDEX('CMA function inputs'!$B$25:$L$30,MATCH('Inkomati-Pongola CMA'!$A$1,'CMA function inputs'!$A$25:$A$30,0),MATCH('Inkomati-Pongola CMA'!$A4,'CMA function inputs'!$B$24:$L$24,0))&lt;=J$2,1,0))</f>
        <v>1</v>
      </c>
      <c r="K4">
        <f>IF($B4=1,1,IF(INDEX('CMA function inputs'!$B$25:$L$30,MATCH('Inkomati-Pongola CMA'!$A$1,'CMA function inputs'!$A$25:$A$30,0),MATCH('Inkomati-Pongola CMA'!$A4,'CMA function inputs'!$B$24:$L$24,0))&lt;=K$2,1,0))</f>
        <v>1</v>
      </c>
    </row>
    <row r="5" spans="1:11" x14ac:dyDescent="0.25">
      <c r="A5" s="4" t="s">
        <v>11</v>
      </c>
      <c r="B5">
        <f>INDEX('CMA function inputs'!$B$17:$L$22,MATCH($A$1,'CMA function inputs'!$A$17:$A$22,0),MATCH(A5,'CMA function inputs'!$B$16:$L$16,0))</f>
        <v>1</v>
      </c>
      <c r="C5">
        <f>IF($B5=1,1,IF(INDEX('CMA function inputs'!$B$25:$L$30,MATCH('Inkomati-Pongola CMA'!$A$1,'CMA function inputs'!$A$25:$A$30,0),MATCH('Inkomati-Pongola CMA'!$A5,'CMA function inputs'!$B$24:$L$24,0))&lt;=C$2,1,0))</f>
        <v>1</v>
      </c>
      <c r="D5">
        <f>IF($B5=1,1,IF(INDEX('CMA function inputs'!$B$25:$L$30,MATCH('Inkomati-Pongola CMA'!$A$1,'CMA function inputs'!$A$25:$A$30,0),MATCH('Inkomati-Pongola CMA'!$A5,'CMA function inputs'!$B$24:$L$24,0))&lt;=D$2,1,0))</f>
        <v>1</v>
      </c>
      <c r="E5">
        <f>IF($B5=1,1,IF(INDEX('CMA function inputs'!$B$25:$L$30,MATCH('Inkomati-Pongola CMA'!$A$1,'CMA function inputs'!$A$25:$A$30,0),MATCH('Inkomati-Pongola CMA'!$A5,'CMA function inputs'!$B$24:$L$24,0))&lt;=E$2,1,0))</f>
        <v>1</v>
      </c>
      <c r="F5">
        <f>IF($B5=1,1,IF(INDEX('CMA function inputs'!$B$25:$L$30,MATCH('Inkomati-Pongola CMA'!$A$1,'CMA function inputs'!$A$25:$A$30,0),MATCH('Inkomati-Pongola CMA'!$A5,'CMA function inputs'!$B$24:$L$24,0))&lt;=F$2,1,0))</f>
        <v>1</v>
      </c>
      <c r="G5">
        <f>IF($B5=1,1,IF(INDEX('CMA function inputs'!$B$25:$L$30,MATCH('Inkomati-Pongola CMA'!$A$1,'CMA function inputs'!$A$25:$A$30,0),MATCH('Inkomati-Pongola CMA'!$A5,'CMA function inputs'!$B$24:$L$24,0))&lt;=G$2,1,0))</f>
        <v>1</v>
      </c>
      <c r="H5">
        <f>IF($B5=1,1,IF(INDEX('CMA function inputs'!$B$25:$L$30,MATCH('Inkomati-Pongola CMA'!$A$1,'CMA function inputs'!$A$25:$A$30,0),MATCH('Inkomati-Pongola CMA'!$A5,'CMA function inputs'!$B$24:$L$24,0))&lt;=H$2,1,0))</f>
        <v>1</v>
      </c>
      <c r="I5">
        <f>IF($B5=1,1,IF(INDEX('CMA function inputs'!$B$25:$L$30,MATCH('Inkomati-Pongola CMA'!$A$1,'CMA function inputs'!$A$25:$A$30,0),MATCH('Inkomati-Pongola CMA'!$A5,'CMA function inputs'!$B$24:$L$24,0))&lt;=I$2,1,0))</f>
        <v>1</v>
      </c>
      <c r="J5">
        <f>IF($B5=1,1,IF(INDEX('CMA function inputs'!$B$25:$L$30,MATCH('Inkomati-Pongola CMA'!$A$1,'CMA function inputs'!$A$25:$A$30,0),MATCH('Inkomati-Pongola CMA'!$A5,'CMA function inputs'!$B$24:$L$24,0))&lt;=J$2,1,0))</f>
        <v>1</v>
      </c>
      <c r="K5">
        <f>IF($B5=1,1,IF(INDEX('CMA function inputs'!$B$25:$L$30,MATCH('Inkomati-Pongola CMA'!$A$1,'CMA function inputs'!$A$25:$A$30,0),MATCH('Inkomati-Pongola CMA'!$A5,'CMA function inputs'!$B$24:$L$24,0))&lt;=K$2,1,0))</f>
        <v>1</v>
      </c>
    </row>
    <row r="6" spans="1:11" x14ac:dyDescent="0.25">
      <c r="A6" s="4" t="s">
        <v>124</v>
      </c>
      <c r="B6">
        <f>INDEX('CMA function inputs'!$B$17:$L$22,MATCH($A$1,'CMA function inputs'!$A$17:$A$22,0),MATCH(A6,'CMA function inputs'!$B$16:$L$16,0))</f>
        <v>1</v>
      </c>
      <c r="C6">
        <f>IF($B6=1,1,IF(INDEX('CMA function inputs'!$B$25:$L$30,MATCH('Inkomati-Pongola CMA'!$A$1,'CMA function inputs'!$A$25:$A$30,0),MATCH('Inkomati-Pongola CMA'!$A6,'CMA function inputs'!$B$24:$L$24,0))&lt;=C$2,1,0))</f>
        <v>1</v>
      </c>
      <c r="D6">
        <f>IF($B6=1,1,IF(INDEX('CMA function inputs'!$B$25:$L$30,MATCH('Inkomati-Pongola CMA'!$A$1,'CMA function inputs'!$A$25:$A$30,0),MATCH('Inkomati-Pongola CMA'!$A6,'CMA function inputs'!$B$24:$L$24,0))&lt;=D$2,1,0))</f>
        <v>1</v>
      </c>
      <c r="E6">
        <f>IF($B6=1,1,IF(INDEX('CMA function inputs'!$B$25:$L$30,MATCH('Inkomati-Pongola CMA'!$A$1,'CMA function inputs'!$A$25:$A$30,0),MATCH('Inkomati-Pongola CMA'!$A6,'CMA function inputs'!$B$24:$L$24,0))&lt;=E$2,1,0))</f>
        <v>1</v>
      </c>
      <c r="F6">
        <f>IF($B6=1,1,IF(INDEX('CMA function inputs'!$B$25:$L$30,MATCH('Inkomati-Pongola CMA'!$A$1,'CMA function inputs'!$A$25:$A$30,0),MATCH('Inkomati-Pongola CMA'!$A6,'CMA function inputs'!$B$24:$L$24,0))&lt;=F$2,1,0))</f>
        <v>1</v>
      </c>
      <c r="G6">
        <f>IF($B6=1,1,IF(INDEX('CMA function inputs'!$B$25:$L$30,MATCH('Inkomati-Pongola CMA'!$A$1,'CMA function inputs'!$A$25:$A$30,0),MATCH('Inkomati-Pongola CMA'!$A6,'CMA function inputs'!$B$24:$L$24,0))&lt;=G$2,1,0))</f>
        <v>1</v>
      </c>
      <c r="H6">
        <f>IF($B6=1,1,IF(INDEX('CMA function inputs'!$B$25:$L$30,MATCH('Inkomati-Pongola CMA'!$A$1,'CMA function inputs'!$A$25:$A$30,0),MATCH('Inkomati-Pongola CMA'!$A6,'CMA function inputs'!$B$24:$L$24,0))&lt;=H$2,1,0))</f>
        <v>1</v>
      </c>
      <c r="I6">
        <f>IF($B6=1,1,IF(INDEX('CMA function inputs'!$B$25:$L$30,MATCH('Inkomati-Pongola CMA'!$A$1,'CMA function inputs'!$A$25:$A$30,0),MATCH('Inkomati-Pongola CMA'!$A6,'CMA function inputs'!$B$24:$L$24,0))&lt;=I$2,1,0))</f>
        <v>1</v>
      </c>
      <c r="J6">
        <f>IF($B6=1,1,IF(INDEX('CMA function inputs'!$B$25:$L$30,MATCH('Inkomati-Pongola CMA'!$A$1,'CMA function inputs'!$A$25:$A$30,0),MATCH('Inkomati-Pongola CMA'!$A6,'CMA function inputs'!$B$24:$L$24,0))&lt;=J$2,1,0))</f>
        <v>1</v>
      </c>
      <c r="K6">
        <f>IF($B6=1,1,IF(INDEX('CMA function inputs'!$B$25:$L$30,MATCH('Inkomati-Pongola CMA'!$A$1,'CMA function inputs'!$A$25:$A$30,0),MATCH('Inkomati-Pongola CMA'!$A6,'CMA function inputs'!$B$24:$L$24,0))&lt;=K$2,1,0))</f>
        <v>1</v>
      </c>
    </row>
    <row r="7" spans="1:11" x14ac:dyDescent="0.25">
      <c r="A7" s="4" t="s">
        <v>12</v>
      </c>
      <c r="B7">
        <f>INDEX('CMA function inputs'!$B$17:$L$22,MATCH($A$1,'CMA function inputs'!$A$17:$A$22,0),MATCH(A7,'CMA function inputs'!$B$16:$L$16,0))</f>
        <v>1</v>
      </c>
      <c r="C7">
        <f>IF($B7=1,1,IF(INDEX('CMA function inputs'!$B$25:$L$30,MATCH('Inkomati-Pongola CMA'!$A$1,'CMA function inputs'!$A$25:$A$30,0),MATCH('Inkomati-Pongola CMA'!$A7,'CMA function inputs'!$B$24:$L$24,0))&lt;=C$2,1,0))</f>
        <v>1</v>
      </c>
      <c r="D7">
        <f>IF($B7=1,1,IF(INDEX('CMA function inputs'!$B$25:$L$30,MATCH('Inkomati-Pongola CMA'!$A$1,'CMA function inputs'!$A$25:$A$30,0),MATCH('Inkomati-Pongola CMA'!$A7,'CMA function inputs'!$B$24:$L$24,0))&lt;=D$2,1,0))</f>
        <v>1</v>
      </c>
      <c r="E7">
        <f>IF($B7=1,1,IF(INDEX('CMA function inputs'!$B$25:$L$30,MATCH('Inkomati-Pongola CMA'!$A$1,'CMA function inputs'!$A$25:$A$30,0),MATCH('Inkomati-Pongola CMA'!$A7,'CMA function inputs'!$B$24:$L$24,0))&lt;=E$2,1,0))</f>
        <v>1</v>
      </c>
      <c r="F7">
        <f>IF($B7=1,1,IF(INDEX('CMA function inputs'!$B$25:$L$30,MATCH('Inkomati-Pongola CMA'!$A$1,'CMA function inputs'!$A$25:$A$30,0),MATCH('Inkomati-Pongola CMA'!$A7,'CMA function inputs'!$B$24:$L$24,0))&lt;=F$2,1,0))</f>
        <v>1</v>
      </c>
      <c r="G7">
        <f>IF($B7=1,1,IF(INDEX('CMA function inputs'!$B$25:$L$30,MATCH('Inkomati-Pongola CMA'!$A$1,'CMA function inputs'!$A$25:$A$30,0),MATCH('Inkomati-Pongola CMA'!$A7,'CMA function inputs'!$B$24:$L$24,0))&lt;=G$2,1,0))</f>
        <v>1</v>
      </c>
      <c r="H7">
        <f>IF($B7=1,1,IF(INDEX('CMA function inputs'!$B$25:$L$30,MATCH('Inkomati-Pongola CMA'!$A$1,'CMA function inputs'!$A$25:$A$30,0),MATCH('Inkomati-Pongola CMA'!$A7,'CMA function inputs'!$B$24:$L$24,0))&lt;=H$2,1,0))</f>
        <v>1</v>
      </c>
      <c r="I7">
        <f>IF($B7=1,1,IF(INDEX('CMA function inputs'!$B$25:$L$30,MATCH('Inkomati-Pongola CMA'!$A$1,'CMA function inputs'!$A$25:$A$30,0),MATCH('Inkomati-Pongola CMA'!$A7,'CMA function inputs'!$B$24:$L$24,0))&lt;=I$2,1,0))</f>
        <v>1</v>
      </c>
      <c r="J7">
        <f>IF($B7=1,1,IF(INDEX('CMA function inputs'!$B$25:$L$30,MATCH('Inkomati-Pongola CMA'!$A$1,'CMA function inputs'!$A$25:$A$30,0),MATCH('Inkomati-Pongola CMA'!$A7,'CMA function inputs'!$B$24:$L$24,0))&lt;=J$2,1,0))</f>
        <v>1</v>
      </c>
      <c r="K7">
        <f>IF($B7=1,1,IF(INDEX('CMA function inputs'!$B$25:$L$30,MATCH('Inkomati-Pongola CMA'!$A$1,'CMA function inputs'!$A$25:$A$30,0),MATCH('Inkomati-Pongola CMA'!$A7,'CMA function inputs'!$B$24:$L$24,0))&lt;=K$2,1,0))</f>
        <v>1</v>
      </c>
    </row>
    <row r="8" spans="1:11" x14ac:dyDescent="0.25">
      <c r="A8" s="4" t="s">
        <v>13</v>
      </c>
      <c r="B8">
        <f>INDEX('CMA function inputs'!$B$17:$L$22,MATCH($A$1,'CMA function inputs'!$A$17:$A$22,0),MATCH(A8,'CMA function inputs'!$B$16:$L$16,0))</f>
        <v>1</v>
      </c>
      <c r="C8">
        <f>IF($B8=1,1,IF(INDEX('CMA function inputs'!$B$25:$L$30,MATCH('Inkomati-Pongola CMA'!$A$1,'CMA function inputs'!$A$25:$A$30,0),MATCH('Inkomati-Pongola CMA'!$A8,'CMA function inputs'!$B$24:$L$24,0))&lt;=C$2,1,0))</f>
        <v>1</v>
      </c>
      <c r="D8">
        <f>IF($B8=1,1,IF(INDEX('CMA function inputs'!$B$25:$L$30,MATCH('Inkomati-Pongola CMA'!$A$1,'CMA function inputs'!$A$25:$A$30,0),MATCH('Inkomati-Pongola CMA'!$A8,'CMA function inputs'!$B$24:$L$24,0))&lt;=D$2,1,0))</f>
        <v>1</v>
      </c>
      <c r="E8">
        <f>IF($B8=1,1,IF(INDEX('CMA function inputs'!$B$25:$L$30,MATCH('Inkomati-Pongola CMA'!$A$1,'CMA function inputs'!$A$25:$A$30,0),MATCH('Inkomati-Pongola CMA'!$A8,'CMA function inputs'!$B$24:$L$24,0))&lt;=E$2,1,0))</f>
        <v>1</v>
      </c>
      <c r="F8">
        <f>IF($B8=1,1,IF(INDEX('CMA function inputs'!$B$25:$L$30,MATCH('Inkomati-Pongola CMA'!$A$1,'CMA function inputs'!$A$25:$A$30,0),MATCH('Inkomati-Pongola CMA'!$A8,'CMA function inputs'!$B$24:$L$24,0))&lt;=F$2,1,0))</f>
        <v>1</v>
      </c>
      <c r="G8">
        <f>IF($B8=1,1,IF(INDEX('CMA function inputs'!$B$25:$L$30,MATCH('Inkomati-Pongola CMA'!$A$1,'CMA function inputs'!$A$25:$A$30,0),MATCH('Inkomati-Pongola CMA'!$A8,'CMA function inputs'!$B$24:$L$24,0))&lt;=G$2,1,0))</f>
        <v>1</v>
      </c>
      <c r="H8">
        <f>IF($B8=1,1,IF(INDEX('CMA function inputs'!$B$25:$L$30,MATCH('Inkomati-Pongola CMA'!$A$1,'CMA function inputs'!$A$25:$A$30,0),MATCH('Inkomati-Pongola CMA'!$A8,'CMA function inputs'!$B$24:$L$24,0))&lt;=H$2,1,0))</f>
        <v>1</v>
      </c>
      <c r="I8">
        <f>IF($B8=1,1,IF(INDEX('CMA function inputs'!$B$25:$L$30,MATCH('Inkomati-Pongola CMA'!$A$1,'CMA function inputs'!$A$25:$A$30,0),MATCH('Inkomati-Pongola CMA'!$A8,'CMA function inputs'!$B$24:$L$24,0))&lt;=I$2,1,0))</f>
        <v>1</v>
      </c>
      <c r="J8">
        <f>IF($B8=1,1,IF(INDEX('CMA function inputs'!$B$25:$L$30,MATCH('Inkomati-Pongola CMA'!$A$1,'CMA function inputs'!$A$25:$A$30,0),MATCH('Inkomati-Pongola CMA'!$A8,'CMA function inputs'!$B$24:$L$24,0))&lt;=J$2,1,0))</f>
        <v>1</v>
      </c>
      <c r="K8">
        <f>IF($B8=1,1,IF(INDEX('CMA function inputs'!$B$25:$L$30,MATCH('Inkomati-Pongola CMA'!$A$1,'CMA function inputs'!$A$25:$A$30,0),MATCH('Inkomati-Pongola CMA'!$A8,'CMA function inputs'!$B$24:$L$24,0))&lt;=K$2,1,0))</f>
        <v>1</v>
      </c>
    </row>
    <row r="9" spans="1:11" x14ac:dyDescent="0.25">
      <c r="A9" s="4" t="s">
        <v>14</v>
      </c>
      <c r="B9">
        <f>INDEX('CMA function inputs'!$B$17:$L$22,MATCH($A$1,'CMA function inputs'!$A$17:$A$22,0),MATCH(A9,'CMA function inputs'!$B$16:$L$16,0))</f>
        <v>1</v>
      </c>
      <c r="C9">
        <f>IF($B9=1,1,IF(INDEX('CMA function inputs'!$B$25:$L$30,MATCH('Inkomati-Pongola CMA'!$A$1,'CMA function inputs'!$A$25:$A$30,0),MATCH('Inkomati-Pongola CMA'!$A9,'CMA function inputs'!$B$24:$L$24,0))&lt;=C$2,1,0))</f>
        <v>1</v>
      </c>
      <c r="D9">
        <f>IF($B9=1,1,IF(INDEX('CMA function inputs'!$B$25:$L$30,MATCH('Inkomati-Pongola CMA'!$A$1,'CMA function inputs'!$A$25:$A$30,0),MATCH('Inkomati-Pongola CMA'!$A9,'CMA function inputs'!$B$24:$L$24,0))&lt;=D$2,1,0))</f>
        <v>1</v>
      </c>
      <c r="E9">
        <f>IF($B9=1,1,IF(INDEX('CMA function inputs'!$B$25:$L$30,MATCH('Inkomati-Pongola CMA'!$A$1,'CMA function inputs'!$A$25:$A$30,0),MATCH('Inkomati-Pongola CMA'!$A9,'CMA function inputs'!$B$24:$L$24,0))&lt;=E$2,1,0))</f>
        <v>1</v>
      </c>
      <c r="F9">
        <f>IF($B9=1,1,IF(INDEX('CMA function inputs'!$B$25:$L$30,MATCH('Inkomati-Pongola CMA'!$A$1,'CMA function inputs'!$A$25:$A$30,0),MATCH('Inkomati-Pongola CMA'!$A9,'CMA function inputs'!$B$24:$L$24,0))&lt;=F$2,1,0))</f>
        <v>1</v>
      </c>
      <c r="G9">
        <f>IF($B9=1,1,IF(INDEX('CMA function inputs'!$B$25:$L$30,MATCH('Inkomati-Pongola CMA'!$A$1,'CMA function inputs'!$A$25:$A$30,0),MATCH('Inkomati-Pongola CMA'!$A9,'CMA function inputs'!$B$24:$L$24,0))&lt;=G$2,1,0))</f>
        <v>1</v>
      </c>
      <c r="H9">
        <f>IF($B9=1,1,IF(INDEX('CMA function inputs'!$B$25:$L$30,MATCH('Inkomati-Pongola CMA'!$A$1,'CMA function inputs'!$A$25:$A$30,0),MATCH('Inkomati-Pongola CMA'!$A9,'CMA function inputs'!$B$24:$L$24,0))&lt;=H$2,1,0))</f>
        <v>1</v>
      </c>
      <c r="I9">
        <f>IF($B9=1,1,IF(INDEX('CMA function inputs'!$B$25:$L$30,MATCH('Inkomati-Pongola CMA'!$A$1,'CMA function inputs'!$A$25:$A$30,0),MATCH('Inkomati-Pongola CMA'!$A9,'CMA function inputs'!$B$24:$L$24,0))&lt;=I$2,1,0))</f>
        <v>1</v>
      </c>
      <c r="J9">
        <f>IF($B9=1,1,IF(INDEX('CMA function inputs'!$B$25:$L$30,MATCH('Inkomati-Pongola CMA'!$A$1,'CMA function inputs'!$A$25:$A$30,0),MATCH('Inkomati-Pongola CMA'!$A9,'CMA function inputs'!$B$24:$L$24,0))&lt;=J$2,1,0))</f>
        <v>1</v>
      </c>
      <c r="K9">
        <f>IF($B9=1,1,IF(INDEX('CMA function inputs'!$B$25:$L$30,MATCH('Inkomati-Pongola CMA'!$A$1,'CMA function inputs'!$A$25:$A$30,0),MATCH('Inkomati-Pongola CMA'!$A9,'CMA function inputs'!$B$24:$L$24,0))&lt;=K$2,1,0))</f>
        <v>1</v>
      </c>
    </row>
    <row r="10" spans="1:11" x14ac:dyDescent="0.25">
      <c r="A10" s="4" t="s">
        <v>125</v>
      </c>
      <c r="B10">
        <f>INDEX('CMA function inputs'!$B$17:$L$22,MATCH($A$1,'CMA function inputs'!$A$17:$A$22,0),MATCH(A10,'CMA function inputs'!$B$16:$L$16,0))</f>
        <v>1</v>
      </c>
      <c r="C10">
        <f>IF($B10=1,1,IF(INDEX('CMA function inputs'!$B$25:$L$30,MATCH('Inkomati-Pongola CMA'!$A$1,'CMA function inputs'!$A$25:$A$30,0),MATCH('Inkomati-Pongola CMA'!$A10,'CMA function inputs'!$B$24:$L$24,0))&lt;=C$2,1,0))</f>
        <v>1</v>
      </c>
      <c r="D10">
        <f>IF($B10=1,1,IF(INDEX('CMA function inputs'!$B$25:$L$30,MATCH('Inkomati-Pongola CMA'!$A$1,'CMA function inputs'!$A$25:$A$30,0),MATCH('Inkomati-Pongola CMA'!$A10,'CMA function inputs'!$B$24:$L$24,0))&lt;=D$2,1,0))</f>
        <v>1</v>
      </c>
      <c r="E10">
        <f>IF($B10=1,1,IF(INDEX('CMA function inputs'!$B$25:$L$30,MATCH('Inkomati-Pongola CMA'!$A$1,'CMA function inputs'!$A$25:$A$30,0),MATCH('Inkomati-Pongola CMA'!$A10,'CMA function inputs'!$B$24:$L$24,0))&lt;=E$2,1,0))</f>
        <v>1</v>
      </c>
      <c r="F10">
        <f>IF($B10=1,1,IF(INDEX('CMA function inputs'!$B$25:$L$30,MATCH('Inkomati-Pongola CMA'!$A$1,'CMA function inputs'!$A$25:$A$30,0),MATCH('Inkomati-Pongola CMA'!$A10,'CMA function inputs'!$B$24:$L$24,0))&lt;=F$2,1,0))</f>
        <v>1</v>
      </c>
      <c r="G10">
        <f>IF($B10=1,1,IF(INDEX('CMA function inputs'!$B$25:$L$30,MATCH('Inkomati-Pongola CMA'!$A$1,'CMA function inputs'!$A$25:$A$30,0),MATCH('Inkomati-Pongola CMA'!$A10,'CMA function inputs'!$B$24:$L$24,0))&lt;=G$2,1,0))</f>
        <v>1</v>
      </c>
      <c r="H10">
        <f>IF($B10=1,1,IF(INDEX('CMA function inputs'!$B$25:$L$30,MATCH('Inkomati-Pongola CMA'!$A$1,'CMA function inputs'!$A$25:$A$30,0),MATCH('Inkomati-Pongola CMA'!$A10,'CMA function inputs'!$B$24:$L$24,0))&lt;=H$2,1,0))</f>
        <v>1</v>
      </c>
      <c r="I10">
        <f>IF($B10=1,1,IF(INDEX('CMA function inputs'!$B$25:$L$30,MATCH('Inkomati-Pongola CMA'!$A$1,'CMA function inputs'!$A$25:$A$30,0),MATCH('Inkomati-Pongola CMA'!$A10,'CMA function inputs'!$B$24:$L$24,0))&lt;=I$2,1,0))</f>
        <v>1</v>
      </c>
      <c r="J10">
        <f>IF($B10=1,1,IF(INDEX('CMA function inputs'!$B$25:$L$30,MATCH('Inkomati-Pongola CMA'!$A$1,'CMA function inputs'!$A$25:$A$30,0),MATCH('Inkomati-Pongola CMA'!$A10,'CMA function inputs'!$B$24:$L$24,0))&lt;=J$2,1,0))</f>
        <v>1</v>
      </c>
      <c r="K10">
        <f>IF($B10=1,1,IF(INDEX('CMA function inputs'!$B$25:$L$30,MATCH('Inkomati-Pongola CMA'!$A$1,'CMA function inputs'!$A$25:$A$30,0),MATCH('Inkomati-Pongola CMA'!$A10,'CMA function inputs'!$B$24:$L$24,0))&lt;=K$2,1,0))</f>
        <v>1</v>
      </c>
    </row>
    <row r="11" spans="1:11" x14ac:dyDescent="0.25">
      <c r="A11" s="4" t="s">
        <v>37</v>
      </c>
      <c r="B11">
        <f>INDEX('CMA function inputs'!$B$17:$L$22,MATCH($A$1,'CMA function inputs'!$A$17:$A$22,0),MATCH(A11,'CMA function inputs'!$B$16:$L$16,0))</f>
        <v>1</v>
      </c>
      <c r="C11">
        <f>IF($B11=1,1,IF(INDEX('CMA function inputs'!$B$25:$L$30,MATCH('Inkomati-Pongola CMA'!$A$1,'CMA function inputs'!$A$25:$A$30,0),MATCH('Inkomati-Pongola CMA'!$A11,'CMA function inputs'!$B$24:$L$24,0))&lt;=C$2,1,0))</f>
        <v>1</v>
      </c>
      <c r="D11">
        <f>IF($B11=1,1,IF(INDEX('CMA function inputs'!$B$25:$L$30,MATCH('Inkomati-Pongola CMA'!$A$1,'CMA function inputs'!$A$25:$A$30,0),MATCH('Inkomati-Pongola CMA'!$A11,'CMA function inputs'!$B$24:$L$24,0))&lt;=D$2,1,0))</f>
        <v>1</v>
      </c>
      <c r="E11">
        <f>IF($B11=1,1,IF(INDEX('CMA function inputs'!$B$25:$L$30,MATCH('Inkomati-Pongola CMA'!$A$1,'CMA function inputs'!$A$25:$A$30,0),MATCH('Inkomati-Pongola CMA'!$A11,'CMA function inputs'!$B$24:$L$24,0))&lt;=E$2,1,0))</f>
        <v>1</v>
      </c>
      <c r="F11">
        <f>IF($B11=1,1,IF(INDEX('CMA function inputs'!$B$25:$L$30,MATCH('Inkomati-Pongola CMA'!$A$1,'CMA function inputs'!$A$25:$A$30,0),MATCH('Inkomati-Pongola CMA'!$A11,'CMA function inputs'!$B$24:$L$24,0))&lt;=F$2,1,0))</f>
        <v>1</v>
      </c>
      <c r="G11">
        <f>IF($B11=1,1,IF(INDEX('CMA function inputs'!$B$25:$L$30,MATCH('Inkomati-Pongola CMA'!$A$1,'CMA function inputs'!$A$25:$A$30,0),MATCH('Inkomati-Pongola CMA'!$A11,'CMA function inputs'!$B$24:$L$24,0))&lt;=G$2,1,0))</f>
        <v>1</v>
      </c>
      <c r="H11">
        <f>IF($B11=1,1,IF(INDEX('CMA function inputs'!$B$25:$L$30,MATCH('Inkomati-Pongola CMA'!$A$1,'CMA function inputs'!$A$25:$A$30,0),MATCH('Inkomati-Pongola CMA'!$A11,'CMA function inputs'!$B$24:$L$24,0))&lt;=H$2,1,0))</f>
        <v>1</v>
      </c>
      <c r="I11">
        <f>IF($B11=1,1,IF(INDEX('CMA function inputs'!$B$25:$L$30,MATCH('Inkomati-Pongola CMA'!$A$1,'CMA function inputs'!$A$25:$A$30,0),MATCH('Inkomati-Pongola CMA'!$A11,'CMA function inputs'!$B$24:$L$24,0))&lt;=I$2,1,0))</f>
        <v>1</v>
      </c>
      <c r="J11">
        <f>IF($B11=1,1,IF(INDEX('CMA function inputs'!$B$25:$L$30,MATCH('Inkomati-Pongola CMA'!$A$1,'CMA function inputs'!$A$25:$A$30,0),MATCH('Inkomati-Pongola CMA'!$A11,'CMA function inputs'!$B$24:$L$24,0))&lt;=J$2,1,0))</f>
        <v>1</v>
      </c>
      <c r="K11">
        <f>IF($B11=1,1,IF(INDEX('CMA function inputs'!$B$25:$L$30,MATCH('Inkomati-Pongola CMA'!$A$1,'CMA function inputs'!$A$25:$A$30,0),MATCH('Inkomati-Pongola CMA'!$A11,'CMA function inputs'!$B$24:$L$24,0))&lt;=K$2,1,0))</f>
        <v>1</v>
      </c>
    </row>
    <row r="12" spans="1:11" x14ac:dyDescent="0.25">
      <c r="A12" s="4" t="s">
        <v>38</v>
      </c>
      <c r="B12">
        <f>INDEX('CMA function inputs'!$B$17:$L$22,MATCH($A$1,'CMA function inputs'!$A$17:$A$22,0),MATCH(A12,'CMA function inputs'!$B$16:$L$16,0))</f>
        <v>1</v>
      </c>
      <c r="C12">
        <f>IF($B12=1,1,IF(INDEX('CMA function inputs'!$B$25:$L$30,MATCH('Inkomati-Pongola CMA'!$A$1,'CMA function inputs'!$A$25:$A$30,0),MATCH('Inkomati-Pongola CMA'!$A12,'CMA function inputs'!$B$24:$L$24,0))&lt;=C$2,1,0))</f>
        <v>1</v>
      </c>
      <c r="D12">
        <f>IF($B12=1,1,IF(INDEX('CMA function inputs'!$B$25:$L$30,MATCH('Inkomati-Pongola CMA'!$A$1,'CMA function inputs'!$A$25:$A$30,0),MATCH('Inkomati-Pongola CMA'!$A12,'CMA function inputs'!$B$24:$L$24,0))&lt;=D$2,1,0))</f>
        <v>1</v>
      </c>
      <c r="E12">
        <f>IF($B12=1,1,IF(INDEX('CMA function inputs'!$B$25:$L$30,MATCH('Inkomati-Pongola CMA'!$A$1,'CMA function inputs'!$A$25:$A$30,0),MATCH('Inkomati-Pongola CMA'!$A12,'CMA function inputs'!$B$24:$L$24,0))&lt;=E$2,1,0))</f>
        <v>1</v>
      </c>
      <c r="F12">
        <f>IF($B12=1,1,IF(INDEX('CMA function inputs'!$B$25:$L$30,MATCH('Inkomati-Pongola CMA'!$A$1,'CMA function inputs'!$A$25:$A$30,0),MATCH('Inkomati-Pongola CMA'!$A12,'CMA function inputs'!$B$24:$L$24,0))&lt;=F$2,1,0))</f>
        <v>1</v>
      </c>
      <c r="G12">
        <f>IF($B12=1,1,IF(INDEX('CMA function inputs'!$B$25:$L$30,MATCH('Inkomati-Pongola CMA'!$A$1,'CMA function inputs'!$A$25:$A$30,0),MATCH('Inkomati-Pongola CMA'!$A12,'CMA function inputs'!$B$24:$L$24,0))&lt;=G$2,1,0))</f>
        <v>1</v>
      </c>
      <c r="H12">
        <f>IF($B12=1,1,IF(INDEX('CMA function inputs'!$B$25:$L$30,MATCH('Inkomati-Pongola CMA'!$A$1,'CMA function inputs'!$A$25:$A$30,0),MATCH('Inkomati-Pongola CMA'!$A12,'CMA function inputs'!$B$24:$L$24,0))&lt;=H$2,1,0))</f>
        <v>1</v>
      </c>
      <c r="I12">
        <f>IF($B12=1,1,IF(INDEX('CMA function inputs'!$B$25:$L$30,MATCH('Inkomati-Pongola CMA'!$A$1,'CMA function inputs'!$A$25:$A$30,0),MATCH('Inkomati-Pongola CMA'!$A12,'CMA function inputs'!$B$24:$L$24,0))&lt;=I$2,1,0))</f>
        <v>1</v>
      </c>
      <c r="J12">
        <f>IF($B12=1,1,IF(INDEX('CMA function inputs'!$B$25:$L$30,MATCH('Inkomati-Pongola CMA'!$A$1,'CMA function inputs'!$A$25:$A$30,0),MATCH('Inkomati-Pongola CMA'!$A12,'CMA function inputs'!$B$24:$L$24,0))&lt;=J$2,1,0))</f>
        <v>1</v>
      </c>
      <c r="K12">
        <f>IF($B12=1,1,IF(INDEX('CMA function inputs'!$B$25:$L$30,MATCH('Inkomati-Pongola CMA'!$A$1,'CMA function inputs'!$A$25:$A$30,0),MATCH('Inkomati-Pongola CMA'!$A12,'CMA function inputs'!$B$24:$L$24,0))&lt;=K$2,1,0))</f>
        <v>1</v>
      </c>
    </row>
    <row r="13" spans="1:11" x14ac:dyDescent="0.25">
      <c r="A13" s="4" t="s">
        <v>15</v>
      </c>
      <c r="B13">
        <f>INDEX('CMA function inputs'!$B$17:$L$22,MATCH($A$1,'CMA function inputs'!$A$17:$A$22,0),MATCH(A13,'CMA function inputs'!$B$16:$L$16,0))</f>
        <v>1</v>
      </c>
      <c r="C13">
        <f>IF($B13=1,1,IF(INDEX('CMA function inputs'!$B$25:$L$30,MATCH('Inkomati-Pongola CMA'!$A$1,'CMA function inputs'!$A$25:$A$30,0),MATCH('Inkomati-Pongola CMA'!$A13,'CMA function inputs'!$B$24:$L$24,0))&lt;=C$2,1,0))</f>
        <v>1</v>
      </c>
      <c r="D13">
        <f>IF($B13=1,1,IF(INDEX('CMA function inputs'!$B$25:$L$30,MATCH('Inkomati-Pongola CMA'!$A$1,'CMA function inputs'!$A$25:$A$30,0),MATCH('Inkomati-Pongola CMA'!$A13,'CMA function inputs'!$B$24:$L$24,0))&lt;=D$2,1,0))</f>
        <v>1</v>
      </c>
      <c r="E13">
        <f>IF($B13=1,1,IF(INDEX('CMA function inputs'!$B$25:$L$30,MATCH('Inkomati-Pongola CMA'!$A$1,'CMA function inputs'!$A$25:$A$30,0),MATCH('Inkomati-Pongola CMA'!$A13,'CMA function inputs'!$B$24:$L$24,0))&lt;=E$2,1,0))</f>
        <v>1</v>
      </c>
      <c r="F13">
        <f>IF($B13=1,1,IF(INDEX('CMA function inputs'!$B$25:$L$30,MATCH('Inkomati-Pongola CMA'!$A$1,'CMA function inputs'!$A$25:$A$30,0),MATCH('Inkomati-Pongola CMA'!$A13,'CMA function inputs'!$B$24:$L$24,0))&lt;=F$2,1,0))</f>
        <v>1</v>
      </c>
      <c r="G13">
        <f>IF($B13=1,1,IF(INDEX('CMA function inputs'!$B$25:$L$30,MATCH('Inkomati-Pongola CMA'!$A$1,'CMA function inputs'!$A$25:$A$30,0),MATCH('Inkomati-Pongola CMA'!$A13,'CMA function inputs'!$B$24:$L$24,0))&lt;=G$2,1,0))</f>
        <v>1</v>
      </c>
      <c r="H13">
        <f>IF($B13=1,1,IF(INDEX('CMA function inputs'!$B$25:$L$30,MATCH('Inkomati-Pongola CMA'!$A$1,'CMA function inputs'!$A$25:$A$30,0),MATCH('Inkomati-Pongola CMA'!$A13,'CMA function inputs'!$B$24:$L$24,0))&lt;=H$2,1,0))</f>
        <v>1</v>
      </c>
      <c r="I13">
        <f>IF($B13=1,1,IF(INDEX('CMA function inputs'!$B$25:$L$30,MATCH('Inkomati-Pongola CMA'!$A$1,'CMA function inputs'!$A$25:$A$30,0),MATCH('Inkomati-Pongola CMA'!$A13,'CMA function inputs'!$B$24:$L$24,0))&lt;=I$2,1,0))</f>
        <v>1</v>
      </c>
      <c r="J13">
        <f>IF($B13=1,1,IF(INDEX('CMA function inputs'!$B$25:$L$30,MATCH('Inkomati-Pongola CMA'!$A$1,'CMA function inputs'!$A$25:$A$30,0),MATCH('Inkomati-Pongola CMA'!$A13,'CMA function inputs'!$B$24:$L$24,0))&lt;=J$2,1,0))</f>
        <v>1</v>
      </c>
      <c r="K13">
        <f>IF($B13=1,1,IF(INDEX('CMA function inputs'!$B$25:$L$30,MATCH('Inkomati-Pongola CMA'!$A$1,'CMA function inputs'!$A$25:$A$30,0),MATCH('Inkomati-Pongola CMA'!$A13,'CMA function inputs'!$B$24:$L$24,0))&lt;=K$2,1,0))</f>
        <v>1</v>
      </c>
    </row>
    <row r="14" spans="1:11" x14ac:dyDescent="0.25">
      <c r="A14" s="4"/>
    </row>
    <row r="15" spans="1:11" x14ac:dyDescent="0.25">
      <c r="A15" s="4"/>
      <c r="B15" t="s">
        <v>55</v>
      </c>
      <c r="C15" t="s">
        <v>20</v>
      </c>
      <c r="D15" t="s">
        <v>21</v>
      </c>
      <c r="E15" t="s">
        <v>51</v>
      </c>
    </row>
    <row r="16" spans="1:11" x14ac:dyDescent="0.25">
      <c r="A16" s="4" t="s">
        <v>35</v>
      </c>
      <c r="B16" s="9">
        <f>'CMA function inputs'!B3</f>
        <v>3.1046720286065279E-3</v>
      </c>
      <c r="C16" t="str">
        <f>'CMA function inputs'!C3</f>
        <v>Registered volume</v>
      </c>
      <c r="D16" s="8">
        <f>INDEX('Data inputs'!$B$4:$D$9,MATCH($A$1,'Data inputs'!$A$4:$A$9,0),MATCH(C16,'Data inputs'!$B$3:$D$3,0))</f>
        <v>2370210700</v>
      </c>
      <c r="E16" s="5">
        <f>B16*D16</f>
        <v>7358726.8621938983</v>
      </c>
    </row>
    <row r="17" spans="1:11" x14ac:dyDescent="0.25">
      <c r="A17" s="4" t="s">
        <v>36</v>
      </c>
      <c r="B17" s="9">
        <f>'CMA function inputs'!B4</f>
        <v>1.7019297206331829E-3</v>
      </c>
      <c r="C17" t="str">
        <f>'CMA function inputs'!C4</f>
        <v>Registered volume</v>
      </c>
      <c r="D17" s="8">
        <f>INDEX('Data inputs'!$B$4:$D$9,MATCH($A$1,'Data inputs'!$A$4:$A$9,0),MATCH(C17,'Data inputs'!$B$3:$D$3,0))</f>
        <v>2370210700</v>
      </c>
      <c r="E17" s="5">
        <f t="shared" ref="E17:E26" si="1">B17*D17</f>
        <v>4033932.0344927809</v>
      </c>
    </row>
    <row r="18" spans="1:11" x14ac:dyDescent="0.25">
      <c r="A18" s="4" t="s">
        <v>11</v>
      </c>
      <c r="B18" s="82">
        <v>0</v>
      </c>
      <c r="C18" s="82">
        <v>0</v>
      </c>
      <c r="D18" s="82">
        <v>0</v>
      </c>
      <c r="E18" s="82">
        <v>0</v>
      </c>
      <c r="F18" s="83" t="s">
        <v>112</v>
      </c>
    </row>
    <row r="19" spans="1:11" x14ac:dyDescent="0.25">
      <c r="A19" s="4" t="s">
        <v>124</v>
      </c>
      <c r="B19" s="9">
        <f>'CMA function inputs'!B6</f>
        <v>15.079185256950241</v>
      </c>
      <c r="C19" t="str">
        <f>'CMA function inputs'!C6</f>
        <v>Area</v>
      </c>
      <c r="D19" s="8">
        <f>INDEX('Data inputs'!$B$4:$D$9,MATCH($A$1,'Data inputs'!$A$4:$A$9,0),MATCH(C19,'Data inputs'!$B$3:$D$3,0))</f>
        <v>45917.854123999998</v>
      </c>
      <c r="E19" s="5">
        <f t="shared" si="1"/>
        <v>692403.82893741259</v>
      </c>
    </row>
    <row r="20" spans="1:11" x14ac:dyDescent="0.25">
      <c r="A20" s="4" t="s">
        <v>12</v>
      </c>
      <c r="B20" s="9">
        <f>'CMA function inputs'!B7</f>
        <v>9.7869565022375288E-3</v>
      </c>
      <c r="C20" t="str">
        <f>'CMA function inputs'!C7</f>
        <v>Registered volume</v>
      </c>
      <c r="D20" s="8">
        <f>INDEX('Data inputs'!$B$4:$D$9,MATCH($A$1,'Data inputs'!$A$4:$A$9,0),MATCH(C20,'Data inputs'!$B$3:$D$3,0))</f>
        <v>2370210700</v>
      </c>
      <c r="E20" s="5">
        <f t="shared" si="1"/>
        <v>23197149.022037964</v>
      </c>
    </row>
    <row r="21" spans="1:11" x14ac:dyDescent="0.25">
      <c r="A21" s="4" t="s">
        <v>13</v>
      </c>
      <c r="B21" s="82">
        <v>0</v>
      </c>
      <c r="C21" s="82">
        <v>0</v>
      </c>
      <c r="D21" s="82">
        <v>0</v>
      </c>
      <c r="E21" s="82">
        <v>0</v>
      </c>
      <c r="F21" s="83" t="s">
        <v>112</v>
      </c>
    </row>
    <row r="22" spans="1:11" x14ac:dyDescent="0.25">
      <c r="A22" s="4" t="s">
        <v>14</v>
      </c>
      <c r="B22" s="82">
        <v>0</v>
      </c>
      <c r="C22" s="82">
        <v>0</v>
      </c>
      <c r="D22" s="82">
        <v>0</v>
      </c>
      <c r="E22" s="82">
        <v>0</v>
      </c>
      <c r="F22" s="83" t="s">
        <v>112</v>
      </c>
    </row>
    <row r="23" spans="1:11" x14ac:dyDescent="0.25">
      <c r="A23" s="4" t="s">
        <v>125</v>
      </c>
      <c r="B23" s="9">
        <f>'CMA function inputs'!B10</f>
        <v>3.2367164664335804E-4</v>
      </c>
      <c r="C23" t="str">
        <f>'CMA function inputs'!C10</f>
        <v>Registered volume</v>
      </c>
      <c r="D23" s="8">
        <f>INDEX('Data inputs'!$B$4:$D$9,MATCH($A$1,'Data inputs'!$A$4:$A$9,0),MATCH(C23,'Data inputs'!$B$3:$D$3,0))</f>
        <v>2370210700</v>
      </c>
      <c r="E23" s="5">
        <f t="shared" ref="E23" si="2">B23*D23</f>
        <v>767170.00016070635</v>
      </c>
      <c r="F23" s="83"/>
    </row>
    <row r="24" spans="1:11" x14ac:dyDescent="0.25">
      <c r="A24" s="4" t="s">
        <v>37</v>
      </c>
      <c r="B24" s="9">
        <f>'CMA function inputs'!B11</f>
        <v>9.4147590178041175E-3</v>
      </c>
      <c r="C24" t="str">
        <f>'CMA function inputs'!C11</f>
        <v>Registered volume</v>
      </c>
      <c r="D24" s="8">
        <f>INDEX('Data inputs'!$B$4:$D$9,MATCH($A$1,'Data inputs'!$A$4:$A$9,0),MATCH(C24,'Data inputs'!$B$3:$D$3,0))</f>
        <v>2370210700</v>
      </c>
      <c r="E24" s="5">
        <f t="shared" si="1"/>
        <v>22314962.56192081</v>
      </c>
    </row>
    <row r="25" spans="1:11" x14ac:dyDescent="0.25">
      <c r="A25" s="4" t="s">
        <v>38</v>
      </c>
      <c r="B25" s="9">
        <f>'CMA function inputs'!B12</f>
        <v>1.262070332489598E-3</v>
      </c>
      <c r="C25" t="str">
        <f>'CMA function inputs'!C12</f>
        <v>Registered volume</v>
      </c>
      <c r="D25" s="8">
        <f>INDEX('Data inputs'!$B$4:$D$9,MATCH($A$1,'Data inputs'!$A$4:$A$9,0),MATCH(C25,'Data inputs'!$B$3:$D$3,0))</f>
        <v>2370210700</v>
      </c>
      <c r="E25" s="5">
        <f t="shared" si="1"/>
        <v>2991372.606219403</v>
      </c>
    </row>
    <row r="26" spans="1:11" x14ac:dyDescent="0.25">
      <c r="A26" s="4" t="s">
        <v>15</v>
      </c>
      <c r="B26" s="9">
        <f>'CMA function inputs'!B13</f>
        <v>1.0919241845339479E-2</v>
      </c>
      <c r="C26" t="str">
        <f>'CMA function inputs'!C13</f>
        <v>Registered volume</v>
      </c>
      <c r="D26" s="8">
        <f>INDEX('Data inputs'!$B$4:$D$9,MATCH($A$1,'Data inputs'!$A$4:$A$9,0),MATCH(C26,'Data inputs'!$B$3:$D$3,0))</f>
        <v>2370210700</v>
      </c>
      <c r="E26" s="13">
        <f t="shared" si="1"/>
        <v>25880903.857711378</v>
      </c>
    </row>
    <row r="27" spans="1:11" x14ac:dyDescent="0.25">
      <c r="E27" s="14">
        <f>SUM(E16:E26)</f>
        <v>87236620.773674354</v>
      </c>
    </row>
    <row r="28" spans="1:11" s="3" customFormat="1" x14ac:dyDescent="0.25">
      <c r="A28" s="2"/>
    </row>
    <row r="29" spans="1:11" x14ac:dyDescent="0.25">
      <c r="A29" s="70" t="s">
        <v>22</v>
      </c>
      <c r="B29" s="7">
        <f>'Summary dashboard'!B3</f>
        <v>1</v>
      </c>
      <c r="C29" s="6">
        <f t="shared" ref="C29:J29" si="3">B29+($K$29-$B$29)/9</f>
        <v>1</v>
      </c>
      <c r="D29" s="6">
        <f t="shared" si="3"/>
        <v>1</v>
      </c>
      <c r="E29" s="6">
        <f t="shared" si="3"/>
        <v>1</v>
      </c>
      <c r="F29" s="6">
        <f t="shared" si="3"/>
        <v>1</v>
      </c>
      <c r="G29" s="6">
        <f t="shared" si="3"/>
        <v>1</v>
      </c>
      <c r="H29" s="6">
        <f t="shared" si="3"/>
        <v>1</v>
      </c>
      <c r="I29" s="6">
        <f t="shared" si="3"/>
        <v>1</v>
      </c>
      <c r="J29" s="6">
        <f t="shared" si="3"/>
        <v>1</v>
      </c>
      <c r="K29" s="7">
        <f>'Summary dashboard'!C3</f>
        <v>1</v>
      </c>
    </row>
    <row r="30" spans="1:11" x14ac:dyDescent="0.25">
      <c r="B30" s="12" t="str">
        <f>'Summary dashboard'!C4</f>
        <v>2023</v>
      </c>
      <c r="C30" s="12">
        <f>B30+1</f>
        <v>2024</v>
      </c>
      <c r="D30" s="12">
        <f t="shared" ref="D30:J30" si="4">C30+1</f>
        <v>2025</v>
      </c>
      <c r="E30" s="12">
        <f t="shared" si="4"/>
        <v>2026</v>
      </c>
      <c r="F30" s="12">
        <f t="shared" si="4"/>
        <v>2027</v>
      </c>
      <c r="G30" s="12">
        <f t="shared" si="4"/>
        <v>2028</v>
      </c>
      <c r="H30" s="12">
        <f t="shared" si="4"/>
        <v>2029</v>
      </c>
      <c r="I30" s="12">
        <f t="shared" si="4"/>
        <v>2030</v>
      </c>
      <c r="J30" s="12">
        <f t="shared" si="4"/>
        <v>2031</v>
      </c>
      <c r="K30" s="12">
        <f>J30+1</f>
        <v>2032</v>
      </c>
    </row>
    <row r="31" spans="1:11" x14ac:dyDescent="0.25">
      <c r="A31" s="4" t="s">
        <v>35</v>
      </c>
      <c r="B31" s="16">
        <f>IF(B3=1,B$29,0)</f>
        <v>1</v>
      </c>
      <c r="C31" s="16">
        <f t="shared" ref="C31:K41" si="5">IF(IF(C3&gt;B3,$B$29,B31+($K$29-$B$29)/9)&lt;0,0,IF(C3&gt;B3,$B$29,B31+($K$29-$B$29)/9))</f>
        <v>1</v>
      </c>
      <c r="D31" s="16">
        <f t="shared" si="5"/>
        <v>1</v>
      </c>
      <c r="E31" s="16">
        <f>IF(IF(E3&gt;D3,$B$29,D31+($K$29-$B$29)/9)&lt;0,0,IF(E3&gt;D3,$B$29,D31+($K$29-$B$29)/9))</f>
        <v>1</v>
      </c>
      <c r="F31" s="16">
        <f t="shared" si="5"/>
        <v>1</v>
      </c>
      <c r="G31" s="16">
        <f t="shared" si="5"/>
        <v>1</v>
      </c>
      <c r="H31" s="16">
        <f t="shared" si="5"/>
        <v>1</v>
      </c>
      <c r="I31" s="16">
        <f t="shared" si="5"/>
        <v>1</v>
      </c>
      <c r="J31" s="16">
        <f t="shared" si="5"/>
        <v>1</v>
      </c>
      <c r="K31" s="16">
        <f t="shared" si="5"/>
        <v>1</v>
      </c>
    </row>
    <row r="32" spans="1:11" x14ac:dyDescent="0.25">
      <c r="A32" s="4" t="s">
        <v>36</v>
      </c>
      <c r="B32" s="16">
        <f t="shared" ref="B32:B41" si="6">IF(B4=1,B$29,0)</f>
        <v>1</v>
      </c>
      <c r="C32" s="16">
        <f t="shared" si="5"/>
        <v>1</v>
      </c>
      <c r="D32" s="16">
        <f t="shared" si="5"/>
        <v>1</v>
      </c>
      <c r="E32" s="16">
        <f t="shared" si="5"/>
        <v>1</v>
      </c>
      <c r="F32" s="16">
        <f t="shared" si="5"/>
        <v>1</v>
      </c>
      <c r="G32" s="16">
        <f t="shared" si="5"/>
        <v>1</v>
      </c>
      <c r="H32" s="16">
        <f t="shared" si="5"/>
        <v>1</v>
      </c>
      <c r="I32" s="16">
        <f t="shared" si="5"/>
        <v>1</v>
      </c>
      <c r="J32" s="16">
        <f t="shared" si="5"/>
        <v>1</v>
      </c>
      <c r="K32" s="16">
        <f t="shared" si="5"/>
        <v>1</v>
      </c>
    </row>
    <row r="33" spans="1:14" x14ac:dyDescent="0.25">
      <c r="A33" s="4" t="s">
        <v>11</v>
      </c>
      <c r="B33" s="16">
        <f t="shared" si="6"/>
        <v>1</v>
      </c>
      <c r="C33" s="16">
        <f t="shared" si="5"/>
        <v>1</v>
      </c>
      <c r="D33" s="16">
        <f>IF(IF(D5&gt;C5,$B$29,C33+($K$29-$B$29)/9)&lt;0,0,IF(D5&gt;C5,$B$29,C33+($K$29-$B$29)/9))</f>
        <v>1</v>
      </c>
      <c r="E33" s="16">
        <f t="shared" si="5"/>
        <v>1</v>
      </c>
      <c r="F33" s="16">
        <f t="shared" si="5"/>
        <v>1</v>
      </c>
      <c r="G33" s="16">
        <f t="shared" si="5"/>
        <v>1</v>
      </c>
      <c r="H33" s="16">
        <f t="shared" si="5"/>
        <v>1</v>
      </c>
      <c r="I33" s="16">
        <f t="shared" si="5"/>
        <v>1</v>
      </c>
      <c r="J33" s="16">
        <f t="shared" si="5"/>
        <v>1</v>
      </c>
      <c r="K33" s="16">
        <f t="shared" si="5"/>
        <v>1</v>
      </c>
    </row>
    <row r="34" spans="1:14" x14ac:dyDescent="0.25">
      <c r="A34" s="4" t="s">
        <v>124</v>
      </c>
      <c r="B34" s="16">
        <f t="shared" si="6"/>
        <v>1</v>
      </c>
      <c r="C34" s="16">
        <f t="shared" si="5"/>
        <v>1</v>
      </c>
      <c r="D34" s="16">
        <f t="shared" si="5"/>
        <v>1</v>
      </c>
      <c r="E34" s="16">
        <f t="shared" si="5"/>
        <v>1</v>
      </c>
      <c r="F34" s="16">
        <f t="shared" si="5"/>
        <v>1</v>
      </c>
      <c r="G34" s="16">
        <f t="shared" si="5"/>
        <v>1</v>
      </c>
      <c r="H34" s="16">
        <f t="shared" si="5"/>
        <v>1</v>
      </c>
      <c r="I34" s="16">
        <f t="shared" si="5"/>
        <v>1</v>
      </c>
      <c r="J34" s="16">
        <f t="shared" si="5"/>
        <v>1</v>
      </c>
      <c r="K34" s="16">
        <f t="shared" si="5"/>
        <v>1</v>
      </c>
    </row>
    <row r="35" spans="1:14" x14ac:dyDescent="0.25">
      <c r="A35" s="4" t="s">
        <v>12</v>
      </c>
      <c r="B35" s="16">
        <f t="shared" si="6"/>
        <v>1</v>
      </c>
      <c r="C35" s="16">
        <f t="shared" si="5"/>
        <v>1</v>
      </c>
      <c r="D35" s="16">
        <f t="shared" si="5"/>
        <v>1</v>
      </c>
      <c r="E35" s="16">
        <f t="shared" si="5"/>
        <v>1</v>
      </c>
      <c r="F35" s="16">
        <f t="shared" si="5"/>
        <v>1</v>
      </c>
      <c r="G35" s="16">
        <f t="shared" si="5"/>
        <v>1</v>
      </c>
      <c r="H35" s="16">
        <f t="shared" si="5"/>
        <v>1</v>
      </c>
      <c r="I35" s="16">
        <f t="shared" si="5"/>
        <v>1</v>
      </c>
      <c r="J35" s="16">
        <f t="shared" si="5"/>
        <v>1</v>
      </c>
      <c r="K35" s="16">
        <f t="shared" si="5"/>
        <v>1</v>
      </c>
    </row>
    <row r="36" spans="1:14" x14ac:dyDescent="0.25">
      <c r="A36" s="4" t="s">
        <v>13</v>
      </c>
      <c r="B36" s="16">
        <f t="shared" si="6"/>
        <v>1</v>
      </c>
      <c r="C36" s="16">
        <f t="shared" si="5"/>
        <v>1</v>
      </c>
      <c r="D36" s="16">
        <f t="shared" si="5"/>
        <v>1</v>
      </c>
      <c r="E36" s="16">
        <f t="shared" si="5"/>
        <v>1</v>
      </c>
      <c r="F36" s="16">
        <f t="shared" si="5"/>
        <v>1</v>
      </c>
      <c r="G36" s="16">
        <f t="shared" si="5"/>
        <v>1</v>
      </c>
      <c r="H36" s="16">
        <f t="shared" si="5"/>
        <v>1</v>
      </c>
      <c r="I36" s="16">
        <f t="shared" si="5"/>
        <v>1</v>
      </c>
      <c r="J36" s="16">
        <f t="shared" si="5"/>
        <v>1</v>
      </c>
      <c r="K36" s="16">
        <f t="shared" si="5"/>
        <v>1</v>
      </c>
    </row>
    <row r="37" spans="1:14" x14ac:dyDescent="0.25">
      <c r="A37" s="4" t="s">
        <v>14</v>
      </c>
      <c r="B37" s="16">
        <f t="shared" si="6"/>
        <v>1</v>
      </c>
      <c r="C37" s="16">
        <f t="shared" si="5"/>
        <v>1</v>
      </c>
      <c r="D37" s="16">
        <f t="shared" si="5"/>
        <v>1</v>
      </c>
      <c r="E37" s="16">
        <f t="shared" si="5"/>
        <v>1</v>
      </c>
      <c r="F37" s="16">
        <f t="shared" si="5"/>
        <v>1</v>
      </c>
      <c r="G37" s="16">
        <f t="shared" si="5"/>
        <v>1</v>
      </c>
      <c r="H37" s="16">
        <f t="shared" si="5"/>
        <v>1</v>
      </c>
      <c r="I37" s="16">
        <f t="shared" si="5"/>
        <v>1</v>
      </c>
      <c r="J37" s="16">
        <f t="shared" si="5"/>
        <v>1</v>
      </c>
      <c r="K37" s="16">
        <f t="shared" si="5"/>
        <v>1</v>
      </c>
    </row>
    <row r="38" spans="1:14" x14ac:dyDescent="0.25">
      <c r="A38" s="4" t="s">
        <v>125</v>
      </c>
      <c r="B38" s="16">
        <f t="shared" si="6"/>
        <v>1</v>
      </c>
      <c r="C38" s="16">
        <f t="shared" si="5"/>
        <v>1</v>
      </c>
      <c r="D38" s="16">
        <f t="shared" si="5"/>
        <v>1</v>
      </c>
      <c r="E38" s="16">
        <f t="shared" si="5"/>
        <v>1</v>
      </c>
      <c r="F38" s="16">
        <f t="shared" si="5"/>
        <v>1</v>
      </c>
      <c r="G38" s="16">
        <f t="shared" si="5"/>
        <v>1</v>
      </c>
      <c r="H38" s="16">
        <f t="shared" si="5"/>
        <v>1</v>
      </c>
      <c r="I38" s="16">
        <f t="shared" si="5"/>
        <v>1</v>
      </c>
      <c r="J38" s="16">
        <f t="shared" si="5"/>
        <v>1</v>
      </c>
      <c r="K38" s="16">
        <f t="shared" si="5"/>
        <v>1</v>
      </c>
    </row>
    <row r="39" spans="1:14" x14ac:dyDescent="0.25">
      <c r="A39" s="4" t="s">
        <v>37</v>
      </c>
      <c r="B39" s="16">
        <f t="shared" si="6"/>
        <v>1</v>
      </c>
      <c r="C39" s="16">
        <f t="shared" si="5"/>
        <v>1</v>
      </c>
      <c r="D39" s="16">
        <f t="shared" si="5"/>
        <v>1</v>
      </c>
      <c r="E39" s="16">
        <f t="shared" si="5"/>
        <v>1</v>
      </c>
      <c r="F39" s="16">
        <f t="shared" si="5"/>
        <v>1</v>
      </c>
      <c r="G39" s="16">
        <f t="shared" si="5"/>
        <v>1</v>
      </c>
      <c r="H39" s="16">
        <f t="shared" si="5"/>
        <v>1</v>
      </c>
      <c r="I39" s="16">
        <f t="shared" si="5"/>
        <v>1</v>
      </c>
      <c r="J39" s="16">
        <f t="shared" si="5"/>
        <v>1</v>
      </c>
      <c r="K39" s="16">
        <f t="shared" si="5"/>
        <v>1</v>
      </c>
    </row>
    <row r="40" spans="1:14" x14ac:dyDescent="0.25">
      <c r="A40" s="4" t="s">
        <v>38</v>
      </c>
      <c r="B40" s="16">
        <f t="shared" si="6"/>
        <v>1</v>
      </c>
      <c r="C40" s="16">
        <f t="shared" si="5"/>
        <v>1</v>
      </c>
      <c r="D40" s="16">
        <f t="shared" si="5"/>
        <v>1</v>
      </c>
      <c r="E40" s="16">
        <f t="shared" si="5"/>
        <v>1</v>
      </c>
      <c r="F40" s="16">
        <f t="shared" si="5"/>
        <v>1</v>
      </c>
      <c r="G40" s="16">
        <f t="shared" si="5"/>
        <v>1</v>
      </c>
      <c r="H40" s="16">
        <f t="shared" si="5"/>
        <v>1</v>
      </c>
      <c r="I40" s="16">
        <f t="shared" si="5"/>
        <v>1</v>
      </c>
      <c r="J40" s="16">
        <f t="shared" si="5"/>
        <v>1</v>
      </c>
      <c r="K40" s="16">
        <f t="shared" si="5"/>
        <v>1</v>
      </c>
    </row>
    <row r="41" spans="1:14" x14ac:dyDescent="0.25">
      <c r="A41" s="4" t="s">
        <v>15</v>
      </c>
      <c r="B41" s="16">
        <f t="shared" si="6"/>
        <v>1</v>
      </c>
      <c r="C41" s="16">
        <f t="shared" si="5"/>
        <v>1</v>
      </c>
      <c r="D41" s="16">
        <f t="shared" si="5"/>
        <v>1</v>
      </c>
      <c r="E41" s="16">
        <f t="shared" si="5"/>
        <v>1</v>
      </c>
      <c r="F41" s="16">
        <f t="shared" si="5"/>
        <v>1</v>
      </c>
      <c r="G41" s="16">
        <f t="shared" si="5"/>
        <v>1</v>
      </c>
      <c r="H41" s="16">
        <f t="shared" si="5"/>
        <v>1</v>
      </c>
      <c r="I41" s="16">
        <f t="shared" si="5"/>
        <v>1</v>
      </c>
      <c r="J41" s="16">
        <f t="shared" si="5"/>
        <v>1</v>
      </c>
      <c r="K41" s="16">
        <f t="shared" si="5"/>
        <v>1</v>
      </c>
    </row>
    <row r="42" spans="1:14" x14ac:dyDescent="0.25">
      <c r="C42" s="6"/>
      <c r="D42" s="6"/>
      <c r="E42" s="6"/>
      <c r="F42" s="6"/>
      <c r="G42" s="6"/>
      <c r="H42" s="6"/>
      <c r="I42" s="6"/>
      <c r="J42" s="6"/>
      <c r="K42" s="6"/>
      <c r="N42" s="21" t="s">
        <v>63</v>
      </c>
    </row>
    <row r="43" spans="1:14" x14ac:dyDescent="0.25">
      <c r="A43" s="21" t="s">
        <v>60</v>
      </c>
      <c r="B43" s="12" t="str">
        <f>'Summary dashboard'!C4</f>
        <v>2023</v>
      </c>
      <c r="C43" s="12">
        <f t="shared" ref="C43" si="7">B43+1</f>
        <v>2024</v>
      </c>
      <c r="D43" s="12">
        <f t="shared" ref="D43" si="8">C43+1</f>
        <v>2025</v>
      </c>
      <c r="E43" s="12">
        <f t="shared" ref="E43" si="9">D43+1</f>
        <v>2026</v>
      </c>
      <c r="F43" s="12">
        <f t="shared" ref="F43" si="10">E43+1</f>
        <v>2027</v>
      </c>
      <c r="G43" s="12">
        <f t="shared" ref="G43" si="11">F43+1</f>
        <v>2028</v>
      </c>
      <c r="H43" s="12">
        <f t="shared" ref="H43" si="12">G43+1</f>
        <v>2029</v>
      </c>
      <c r="I43" s="12">
        <f t="shared" ref="I43" si="13">H43+1</f>
        <v>2030</v>
      </c>
      <c r="J43" s="12">
        <f t="shared" ref="J43" si="14">I43+1</f>
        <v>2031</v>
      </c>
      <c r="K43" s="12">
        <f t="shared" ref="K43" si="15">J43+1</f>
        <v>2032</v>
      </c>
      <c r="L43" s="1" t="s">
        <v>28</v>
      </c>
      <c r="N43" s="44" t="str">
        <f>'Summary dashboard'!B16</f>
        <v>2023</v>
      </c>
    </row>
    <row r="44" spans="1:14" x14ac:dyDescent="0.25">
      <c r="A44" s="4" t="s">
        <v>35</v>
      </c>
      <c r="B44" s="32">
        <f>IF($B16*$D16*B31&gt;0,$B16*$D16*B31,INDEX('Data inputs'!$B$29:$G$39,MATCH($A44,'Data inputs'!$A$29:$A$39,0),MATCH($A$1,'Data inputs'!$B$28:$G$28,0)))</f>
        <v>7358726.8621938983</v>
      </c>
      <c r="C44" s="32">
        <f>IF($B16*$D16*C31&gt;0,$B16*$D16*C31,INDEX('Data inputs'!$B$29:$G$39,MATCH($A44,'Data inputs'!$A$29:$A$39,0),MATCH($A$1,'Data inputs'!$B$28:$G$28,0)))</f>
        <v>7358726.8621938983</v>
      </c>
      <c r="D44" s="32">
        <f>IF($B16*$D16*D31&gt;0,$B16*$D16*D31,INDEX('Data inputs'!$B$29:$G$39,MATCH($A44,'Data inputs'!$A$29:$A$39,0),MATCH($A$1,'Data inputs'!$B$28:$G$28,0)))</f>
        <v>7358726.8621938983</v>
      </c>
      <c r="E44" s="32">
        <f>IF($B16*$D16*E31&gt;0,$B16*$D16*E31,INDEX('Data inputs'!$B$29:$G$39,MATCH($A44,'Data inputs'!$A$29:$A$39,0),MATCH($A$1,'Data inputs'!$B$28:$G$28,0)))</f>
        <v>7358726.8621938983</v>
      </c>
      <c r="F44" s="32">
        <f>IF($B16*$D16*F31&gt;0,$B16*$D16*F31,INDEX('Data inputs'!$B$29:$G$39,MATCH($A44,'Data inputs'!$A$29:$A$39,0),MATCH($A$1,'Data inputs'!$B$28:$G$28,0)))</f>
        <v>7358726.8621938983</v>
      </c>
      <c r="G44" s="32">
        <f>IF($B16*$D16*G31&gt;0,$B16*$D16*G31,INDEX('Data inputs'!$B$29:$G$39,MATCH($A44,'Data inputs'!$A$29:$A$39,0),MATCH($A$1,'Data inputs'!$B$28:$G$28,0)))</f>
        <v>7358726.8621938983</v>
      </c>
      <c r="H44" s="32">
        <f>IF($B16*$D16*H31&gt;0,$B16*$D16*H31,INDEX('Data inputs'!$B$29:$G$39,MATCH($A44,'Data inputs'!$A$29:$A$39,0),MATCH($A$1,'Data inputs'!$B$28:$G$28,0)))</f>
        <v>7358726.8621938983</v>
      </c>
      <c r="I44" s="32">
        <f>IF($B16*$D16*I31&gt;0,$B16*$D16*I31,INDEX('Data inputs'!$B$29:$G$39,MATCH($A44,'Data inputs'!$A$29:$A$39,0),MATCH($A$1,'Data inputs'!$B$28:$G$28,0)))</f>
        <v>7358726.8621938983</v>
      </c>
      <c r="J44" s="32">
        <f>IF($B16*$D16*J31&gt;0,$B16*$D16*J31,INDEX('Data inputs'!$B$29:$G$39,MATCH($A44,'Data inputs'!$A$29:$A$39,0),MATCH($A$1,'Data inputs'!$B$28:$G$28,0)))</f>
        <v>7358726.8621938983</v>
      </c>
      <c r="K44" s="32">
        <f>IF($B16*$D16*K31&gt;0,$B16*$D16*K31,INDEX('Data inputs'!$B$29:$G$39,MATCH($A44,'Data inputs'!$A$29:$A$39,0),MATCH($A$1,'Data inputs'!$B$28:$G$28,0)))</f>
        <v>7358726.8621938983</v>
      </c>
      <c r="L44" s="5">
        <f t="shared" ref="L44:L54" si="16">AVERAGE(B44:K44)</f>
        <v>7358726.8621938992</v>
      </c>
      <c r="N44" s="5">
        <f t="shared" ref="N44:N54" si="17">INDEX(B44:K44,1,MATCH($N$43,$B$43:$K$43,0))</f>
        <v>7358726.8621938983</v>
      </c>
    </row>
    <row r="45" spans="1:14" x14ac:dyDescent="0.25">
      <c r="A45" s="4" t="s">
        <v>36</v>
      </c>
      <c r="B45" s="32">
        <f>IF($B17*$D17*B32&gt;0,$B17*$D17*B32,INDEX('Data inputs'!$B$29:$G$39,MATCH($A45,'Data inputs'!$A$29:$A$39,0),MATCH($A$1,'Data inputs'!$B$28:$G$28,0)))</f>
        <v>4033932.0344927809</v>
      </c>
      <c r="C45" s="32">
        <f>IF($B17*$D17*C32&gt;0,$B17*$D17*C32,INDEX('Data inputs'!$B$29:$G$39,MATCH($A45,'Data inputs'!$A$29:$A$39,0),MATCH($A$1,'Data inputs'!$B$28:$G$28,0)))</f>
        <v>4033932.0344927809</v>
      </c>
      <c r="D45" s="32">
        <f>IF($B17*$D17*D32&gt;0,$B17*$D17*D32,INDEX('Data inputs'!$B$29:$G$39,MATCH($A45,'Data inputs'!$A$29:$A$39,0),MATCH($A$1,'Data inputs'!$B$28:$G$28,0)))</f>
        <v>4033932.0344927809</v>
      </c>
      <c r="E45" s="32">
        <f>IF($B17*$D17*E32&gt;0,$B17*$D17*E32,INDEX('Data inputs'!$B$29:$G$39,MATCH($A45,'Data inputs'!$A$29:$A$39,0),MATCH($A$1,'Data inputs'!$B$28:$G$28,0)))</f>
        <v>4033932.0344927809</v>
      </c>
      <c r="F45" s="32">
        <f>IF($B17*$D17*F32&gt;0,$B17*$D17*F32,INDEX('Data inputs'!$B$29:$G$39,MATCH($A45,'Data inputs'!$A$29:$A$39,0),MATCH($A$1,'Data inputs'!$B$28:$G$28,0)))</f>
        <v>4033932.0344927809</v>
      </c>
      <c r="G45" s="32">
        <f>IF($B17*$D17*G32&gt;0,$B17*$D17*G32,INDEX('Data inputs'!$B$29:$G$39,MATCH($A45,'Data inputs'!$A$29:$A$39,0),MATCH($A$1,'Data inputs'!$B$28:$G$28,0)))</f>
        <v>4033932.0344927809</v>
      </c>
      <c r="H45" s="32">
        <f>IF($B17*$D17*H32&gt;0,$B17*$D17*H32,INDEX('Data inputs'!$B$29:$G$39,MATCH($A45,'Data inputs'!$A$29:$A$39,0),MATCH($A$1,'Data inputs'!$B$28:$G$28,0)))</f>
        <v>4033932.0344927809</v>
      </c>
      <c r="I45" s="32">
        <f>IF($B17*$D17*I32&gt;0,$B17*$D17*I32,INDEX('Data inputs'!$B$29:$G$39,MATCH($A45,'Data inputs'!$A$29:$A$39,0),MATCH($A$1,'Data inputs'!$B$28:$G$28,0)))</f>
        <v>4033932.0344927809</v>
      </c>
      <c r="J45" s="32">
        <f>IF($B17*$D17*J32&gt;0,$B17*$D17*J32,INDEX('Data inputs'!$B$29:$G$39,MATCH($A45,'Data inputs'!$A$29:$A$39,0),MATCH($A$1,'Data inputs'!$B$28:$G$28,0)))</f>
        <v>4033932.0344927809</v>
      </c>
      <c r="K45" s="32">
        <f>IF($B17*$D17*K32&gt;0,$B17*$D17*K32,INDEX('Data inputs'!$B$29:$G$39,MATCH($A45,'Data inputs'!$A$29:$A$39,0),MATCH($A$1,'Data inputs'!$B$28:$G$28,0)))</f>
        <v>4033932.0344927809</v>
      </c>
      <c r="L45" s="5">
        <f t="shared" si="16"/>
        <v>4033932.0344927809</v>
      </c>
      <c r="N45" s="5">
        <f t="shared" si="17"/>
        <v>4033932.0344927809</v>
      </c>
    </row>
    <row r="46" spans="1:14" x14ac:dyDescent="0.25">
      <c r="A46" s="4" t="s">
        <v>11</v>
      </c>
      <c r="B46" s="32">
        <f>IF($B18*$D18*B33&gt;0,$B18*$D18*B33,INDEX('Data inputs'!$B$29:$G$39,MATCH($A46,'Data inputs'!$A$29:$A$39,0),MATCH($A$1,'Data inputs'!$B$28:$G$28,0)))</f>
        <v>0</v>
      </c>
      <c r="C46" s="32">
        <f>IF($B18*$D18*C33&gt;0,$B18*$D18*C33,INDEX('Data inputs'!$B$29:$G$39,MATCH($A46,'Data inputs'!$A$29:$A$39,0),MATCH($A$1,'Data inputs'!$B$28:$G$28,0)))</f>
        <v>0</v>
      </c>
      <c r="D46" s="32">
        <f>IF($B18*$D18*D33&gt;0,$B18*$D18*D33,INDEX('Data inputs'!$B$29:$G$39,MATCH($A46,'Data inputs'!$A$29:$A$39,0),MATCH($A$1,'Data inputs'!$B$28:$G$28,0)))</f>
        <v>0</v>
      </c>
      <c r="E46" s="32">
        <f>IF($B18*$D18*E33&gt;0,$B18*$D18*E33,INDEX('Data inputs'!$B$29:$G$39,MATCH($A46,'Data inputs'!$A$29:$A$39,0),MATCH($A$1,'Data inputs'!$B$28:$G$28,0)))</f>
        <v>0</v>
      </c>
      <c r="F46" s="32">
        <f>IF($B18*$D18*F33&gt;0,$B18*$D18*F33,INDEX('Data inputs'!$B$29:$G$39,MATCH($A46,'Data inputs'!$A$29:$A$39,0),MATCH($A$1,'Data inputs'!$B$28:$G$28,0)))</f>
        <v>0</v>
      </c>
      <c r="G46" s="32">
        <f>IF($B18*$D18*G33&gt;0,$B18*$D18*G33,INDEX('Data inputs'!$B$29:$G$39,MATCH($A46,'Data inputs'!$A$29:$A$39,0),MATCH($A$1,'Data inputs'!$B$28:$G$28,0)))</f>
        <v>0</v>
      </c>
      <c r="H46" s="32">
        <f>IF($B18*$D18*H33&gt;0,$B18*$D18*H33,INDEX('Data inputs'!$B$29:$G$39,MATCH($A46,'Data inputs'!$A$29:$A$39,0),MATCH($A$1,'Data inputs'!$B$28:$G$28,0)))</f>
        <v>0</v>
      </c>
      <c r="I46" s="32">
        <f>IF($B18*$D18*I33&gt;0,$B18*$D18*I33,INDEX('Data inputs'!$B$29:$G$39,MATCH($A46,'Data inputs'!$A$29:$A$39,0),MATCH($A$1,'Data inputs'!$B$28:$G$28,0)))</f>
        <v>0</v>
      </c>
      <c r="J46" s="32">
        <f>IF($B18*$D18*J33&gt;0,$B18*$D18*J33,INDEX('Data inputs'!$B$29:$G$39,MATCH($A46,'Data inputs'!$A$29:$A$39,0),MATCH($A$1,'Data inputs'!$B$28:$G$28,0)))</f>
        <v>0</v>
      </c>
      <c r="K46" s="32">
        <f>IF($B18*$D18*K33&gt;0,$B18*$D18*K33,INDEX('Data inputs'!$B$29:$G$39,MATCH($A46,'Data inputs'!$A$29:$A$39,0),MATCH($A$1,'Data inputs'!$B$28:$G$28,0)))</f>
        <v>0</v>
      </c>
      <c r="L46" s="5">
        <f t="shared" si="16"/>
        <v>0</v>
      </c>
      <c r="N46" s="5">
        <f t="shared" si="17"/>
        <v>0</v>
      </c>
    </row>
    <row r="47" spans="1:14" x14ac:dyDescent="0.25">
      <c r="A47" s="4" t="s">
        <v>124</v>
      </c>
      <c r="B47" s="32">
        <f>IF($B19*$D19*B34&gt;0,$B19*$D19*B34,INDEX('Data inputs'!$B$29:$G$39,MATCH($A47,'Data inputs'!$A$29:$A$39,0),MATCH($A$1,'Data inputs'!$B$28:$G$28,0)))</f>
        <v>692403.82893741259</v>
      </c>
      <c r="C47" s="32">
        <f>IF($B19*$D19*C34&gt;0,$B19*$D19*C34,INDEX('Data inputs'!$B$29:$G$39,MATCH($A47,'Data inputs'!$A$29:$A$39,0),MATCH($A$1,'Data inputs'!$B$28:$G$28,0)))</f>
        <v>692403.82893741259</v>
      </c>
      <c r="D47" s="32">
        <f>IF($B19*$D19*D34&gt;0,$B19*$D19*D34,INDEX('Data inputs'!$B$29:$G$39,MATCH($A47,'Data inputs'!$A$29:$A$39,0),MATCH($A$1,'Data inputs'!$B$28:$G$28,0)))</f>
        <v>692403.82893741259</v>
      </c>
      <c r="E47" s="32">
        <f>IF($B19*$D19*E34&gt;0,$B19*$D19*E34,INDEX('Data inputs'!$B$29:$G$39,MATCH($A47,'Data inputs'!$A$29:$A$39,0),MATCH($A$1,'Data inputs'!$B$28:$G$28,0)))</f>
        <v>692403.82893741259</v>
      </c>
      <c r="F47" s="32">
        <f>IF($B19*$D19*F34&gt;0,$B19*$D19*F34,INDEX('Data inputs'!$B$29:$G$39,MATCH($A47,'Data inputs'!$A$29:$A$39,0),MATCH($A$1,'Data inputs'!$B$28:$G$28,0)))</f>
        <v>692403.82893741259</v>
      </c>
      <c r="G47" s="32">
        <f>IF($B19*$D19*G34&gt;0,$B19*$D19*G34,INDEX('Data inputs'!$B$29:$G$39,MATCH($A47,'Data inputs'!$A$29:$A$39,0),MATCH($A$1,'Data inputs'!$B$28:$G$28,0)))</f>
        <v>692403.82893741259</v>
      </c>
      <c r="H47" s="32">
        <f>IF($B19*$D19*H34&gt;0,$B19*$D19*H34,INDEX('Data inputs'!$B$29:$G$39,MATCH($A47,'Data inputs'!$A$29:$A$39,0),MATCH($A$1,'Data inputs'!$B$28:$G$28,0)))</f>
        <v>692403.82893741259</v>
      </c>
      <c r="I47" s="32">
        <f>IF($B19*$D19*I34&gt;0,$B19*$D19*I34,INDEX('Data inputs'!$B$29:$G$39,MATCH($A47,'Data inputs'!$A$29:$A$39,0),MATCH($A$1,'Data inputs'!$B$28:$G$28,0)))</f>
        <v>692403.82893741259</v>
      </c>
      <c r="J47" s="32">
        <f>IF($B19*$D19*J34&gt;0,$B19*$D19*J34,INDEX('Data inputs'!$B$29:$G$39,MATCH($A47,'Data inputs'!$A$29:$A$39,0),MATCH($A$1,'Data inputs'!$B$28:$G$28,0)))</f>
        <v>692403.82893741259</v>
      </c>
      <c r="K47" s="32">
        <f>IF($B19*$D19*K34&gt;0,$B19*$D19*K34,INDEX('Data inputs'!$B$29:$G$39,MATCH($A47,'Data inputs'!$A$29:$A$39,0),MATCH($A$1,'Data inputs'!$B$28:$G$28,0)))</f>
        <v>692403.82893741259</v>
      </c>
      <c r="L47" s="5">
        <f t="shared" si="16"/>
        <v>692403.82893741247</v>
      </c>
      <c r="N47" s="5">
        <f t="shared" si="17"/>
        <v>692403.82893741259</v>
      </c>
    </row>
    <row r="48" spans="1:14" x14ac:dyDescent="0.25">
      <c r="A48" s="4" t="s">
        <v>12</v>
      </c>
      <c r="B48" s="32">
        <f>IF($B20*$D20*B35&gt;0,$B20*$D20*B35,INDEX('Data inputs'!$B$29:$G$39,MATCH($A48,'Data inputs'!$A$29:$A$39,0),MATCH($A$1,'Data inputs'!$B$28:$G$28,0)))</f>
        <v>23197149.022037964</v>
      </c>
      <c r="C48" s="32">
        <f>IF($B20*$D20*C35&gt;0,$B20*$D20*C35,INDEX('Data inputs'!$B$29:$G$39,MATCH($A48,'Data inputs'!$A$29:$A$39,0),MATCH($A$1,'Data inputs'!$B$28:$G$28,0)))</f>
        <v>23197149.022037964</v>
      </c>
      <c r="D48" s="32">
        <f>IF($B20*$D20*D35&gt;0,$B20*$D20*D35,INDEX('Data inputs'!$B$29:$G$39,MATCH($A48,'Data inputs'!$A$29:$A$39,0),MATCH($A$1,'Data inputs'!$B$28:$G$28,0)))</f>
        <v>23197149.022037964</v>
      </c>
      <c r="E48" s="32">
        <f>IF($B20*$D20*E35&gt;0,$B20*$D20*E35,INDEX('Data inputs'!$B$29:$G$39,MATCH($A48,'Data inputs'!$A$29:$A$39,0),MATCH($A$1,'Data inputs'!$B$28:$G$28,0)))</f>
        <v>23197149.022037964</v>
      </c>
      <c r="F48" s="32">
        <f>IF($B20*$D20*F35&gt;0,$B20*$D20*F35,INDEX('Data inputs'!$B$29:$G$39,MATCH($A48,'Data inputs'!$A$29:$A$39,0),MATCH($A$1,'Data inputs'!$B$28:$G$28,0)))</f>
        <v>23197149.022037964</v>
      </c>
      <c r="G48" s="32">
        <f>IF($B20*$D20*G35&gt;0,$B20*$D20*G35,INDEX('Data inputs'!$B$29:$G$39,MATCH($A48,'Data inputs'!$A$29:$A$39,0),MATCH($A$1,'Data inputs'!$B$28:$G$28,0)))</f>
        <v>23197149.022037964</v>
      </c>
      <c r="H48" s="32">
        <f>IF($B20*$D20*H35&gt;0,$B20*$D20*H35,INDEX('Data inputs'!$B$29:$G$39,MATCH($A48,'Data inputs'!$A$29:$A$39,0),MATCH($A$1,'Data inputs'!$B$28:$G$28,0)))</f>
        <v>23197149.022037964</v>
      </c>
      <c r="I48" s="32">
        <f>IF($B20*$D20*I35&gt;0,$B20*$D20*I35,INDEX('Data inputs'!$B$29:$G$39,MATCH($A48,'Data inputs'!$A$29:$A$39,0),MATCH($A$1,'Data inputs'!$B$28:$G$28,0)))</f>
        <v>23197149.022037964</v>
      </c>
      <c r="J48" s="32">
        <f>IF($B20*$D20*J35&gt;0,$B20*$D20*J35,INDEX('Data inputs'!$B$29:$G$39,MATCH($A48,'Data inputs'!$A$29:$A$39,0),MATCH($A$1,'Data inputs'!$B$28:$G$28,0)))</f>
        <v>23197149.022037964</v>
      </c>
      <c r="K48" s="32">
        <f>IF($B20*$D20*K35&gt;0,$B20*$D20*K35,INDEX('Data inputs'!$B$29:$G$39,MATCH($A48,'Data inputs'!$A$29:$A$39,0),MATCH($A$1,'Data inputs'!$B$28:$G$28,0)))</f>
        <v>23197149.022037964</v>
      </c>
      <c r="L48" s="5">
        <f t="shared" si="16"/>
        <v>23197149.022037961</v>
      </c>
      <c r="N48" s="5">
        <f t="shared" si="17"/>
        <v>23197149.022037964</v>
      </c>
    </row>
    <row r="49" spans="1:14" x14ac:dyDescent="0.25">
      <c r="A49" s="4" t="s">
        <v>13</v>
      </c>
      <c r="B49" s="32">
        <f>IF($B21*$D21*B36&gt;0,$B21*$D21*B36,INDEX('Data inputs'!$B$29:$G$39,MATCH($A49,'Data inputs'!$A$29:$A$39,0),MATCH($A$1,'Data inputs'!$B$28:$G$28,0)))</f>
        <v>0</v>
      </c>
      <c r="C49" s="32">
        <f>IF($B21*$D21*C36&gt;0,$B21*$D21*C36,INDEX('Data inputs'!$B$29:$G$39,MATCH($A49,'Data inputs'!$A$29:$A$39,0),MATCH($A$1,'Data inputs'!$B$28:$G$28,0)))</f>
        <v>0</v>
      </c>
      <c r="D49" s="32">
        <f>IF($B21*$D21*D36&gt;0,$B21*$D21*D36,INDEX('Data inputs'!$B$29:$G$39,MATCH($A49,'Data inputs'!$A$29:$A$39,0),MATCH($A$1,'Data inputs'!$B$28:$G$28,0)))</f>
        <v>0</v>
      </c>
      <c r="E49" s="32">
        <f>IF($B21*$D21*E36&gt;0,$B21*$D21*E36,INDEX('Data inputs'!$B$29:$G$39,MATCH($A49,'Data inputs'!$A$29:$A$39,0),MATCH($A$1,'Data inputs'!$B$28:$G$28,0)))</f>
        <v>0</v>
      </c>
      <c r="F49" s="32">
        <f>IF($B21*$D21*F36&gt;0,$B21*$D21*F36,INDEX('Data inputs'!$B$29:$G$39,MATCH($A49,'Data inputs'!$A$29:$A$39,0),MATCH($A$1,'Data inputs'!$B$28:$G$28,0)))</f>
        <v>0</v>
      </c>
      <c r="G49" s="32">
        <f>IF($B21*$D21*G36&gt;0,$B21*$D21*G36,INDEX('Data inputs'!$B$29:$G$39,MATCH($A49,'Data inputs'!$A$29:$A$39,0),MATCH($A$1,'Data inputs'!$B$28:$G$28,0)))</f>
        <v>0</v>
      </c>
      <c r="H49" s="32">
        <f>IF($B21*$D21*H36&gt;0,$B21*$D21*H36,INDEX('Data inputs'!$B$29:$G$39,MATCH($A49,'Data inputs'!$A$29:$A$39,0),MATCH($A$1,'Data inputs'!$B$28:$G$28,0)))</f>
        <v>0</v>
      </c>
      <c r="I49" s="32">
        <f>IF($B21*$D21*I36&gt;0,$B21*$D21*I36,INDEX('Data inputs'!$B$29:$G$39,MATCH($A49,'Data inputs'!$A$29:$A$39,0),MATCH($A$1,'Data inputs'!$B$28:$G$28,0)))</f>
        <v>0</v>
      </c>
      <c r="J49" s="32">
        <f>IF($B21*$D21*J36&gt;0,$B21*$D21*J36,INDEX('Data inputs'!$B$29:$G$39,MATCH($A49,'Data inputs'!$A$29:$A$39,0),MATCH($A$1,'Data inputs'!$B$28:$G$28,0)))</f>
        <v>0</v>
      </c>
      <c r="K49" s="32">
        <f>IF($B21*$D21*K36&gt;0,$B21*$D21*K36,INDEX('Data inputs'!$B$29:$G$39,MATCH($A49,'Data inputs'!$A$29:$A$39,0),MATCH($A$1,'Data inputs'!$B$28:$G$28,0)))</f>
        <v>0</v>
      </c>
      <c r="L49" s="5">
        <f t="shared" si="16"/>
        <v>0</v>
      </c>
      <c r="N49" s="5">
        <f t="shared" si="17"/>
        <v>0</v>
      </c>
    </row>
    <row r="50" spans="1:14" x14ac:dyDescent="0.25">
      <c r="A50" s="4" t="s">
        <v>14</v>
      </c>
      <c r="B50" s="32">
        <f>IF($B22*$D22*B37&gt;0,$B22*$D22*B37,INDEX('Data inputs'!$B$29:$G$39,MATCH($A50,'Data inputs'!$A$29:$A$39,0),MATCH($A$1,'Data inputs'!$B$28:$G$28,0)))</f>
        <v>0</v>
      </c>
      <c r="C50" s="32">
        <f>IF($B22*$D22*C37&gt;0,$B22*$D22*C37,INDEX('Data inputs'!$B$29:$G$39,MATCH($A50,'Data inputs'!$A$29:$A$39,0),MATCH($A$1,'Data inputs'!$B$28:$G$28,0)))</f>
        <v>0</v>
      </c>
      <c r="D50" s="32">
        <f>IF($B22*$D22*D37&gt;0,$B22*$D22*D37,INDEX('Data inputs'!$B$29:$G$39,MATCH($A50,'Data inputs'!$A$29:$A$39,0),MATCH($A$1,'Data inputs'!$B$28:$G$28,0)))</f>
        <v>0</v>
      </c>
      <c r="E50" s="32">
        <f>IF($B22*$D22*E37&gt;0,$B22*$D22*E37,INDEX('Data inputs'!$B$29:$G$39,MATCH($A50,'Data inputs'!$A$29:$A$39,0),MATCH($A$1,'Data inputs'!$B$28:$G$28,0)))</f>
        <v>0</v>
      </c>
      <c r="F50" s="32">
        <f>IF($B22*$D22*F37&gt;0,$B22*$D22*F37,INDEX('Data inputs'!$B$29:$G$39,MATCH($A50,'Data inputs'!$A$29:$A$39,0),MATCH($A$1,'Data inputs'!$B$28:$G$28,0)))</f>
        <v>0</v>
      </c>
      <c r="G50" s="32">
        <f>IF($B22*$D22*G37&gt;0,$B22*$D22*G37,INDEX('Data inputs'!$B$29:$G$39,MATCH($A50,'Data inputs'!$A$29:$A$39,0),MATCH($A$1,'Data inputs'!$B$28:$G$28,0)))</f>
        <v>0</v>
      </c>
      <c r="H50" s="32">
        <f>IF($B22*$D22*H37&gt;0,$B22*$D22*H37,INDEX('Data inputs'!$B$29:$G$39,MATCH($A50,'Data inputs'!$A$29:$A$39,0),MATCH($A$1,'Data inputs'!$B$28:$G$28,0)))</f>
        <v>0</v>
      </c>
      <c r="I50" s="32">
        <f>IF($B22*$D22*I37&gt;0,$B22*$D22*I37,INDEX('Data inputs'!$B$29:$G$39,MATCH($A50,'Data inputs'!$A$29:$A$39,0),MATCH($A$1,'Data inputs'!$B$28:$G$28,0)))</f>
        <v>0</v>
      </c>
      <c r="J50" s="32">
        <f>IF($B22*$D22*J37&gt;0,$B22*$D22*J37,INDEX('Data inputs'!$B$29:$G$39,MATCH($A50,'Data inputs'!$A$29:$A$39,0),MATCH($A$1,'Data inputs'!$B$28:$G$28,0)))</f>
        <v>0</v>
      </c>
      <c r="K50" s="32">
        <f>IF($B22*$D22*K37&gt;0,$B22*$D22*K37,INDEX('Data inputs'!$B$29:$G$39,MATCH($A50,'Data inputs'!$A$29:$A$39,0),MATCH($A$1,'Data inputs'!$B$28:$G$28,0)))</f>
        <v>0</v>
      </c>
      <c r="L50" s="5">
        <f t="shared" si="16"/>
        <v>0</v>
      </c>
      <c r="N50" s="5">
        <f t="shared" si="17"/>
        <v>0</v>
      </c>
    </row>
    <row r="51" spans="1:14" x14ac:dyDescent="0.25">
      <c r="A51" s="4" t="s">
        <v>125</v>
      </c>
      <c r="B51" s="32">
        <f>IF($B23*$D23*B38&gt;0,$B23*$D23*B38,INDEX('Data inputs'!$B$29:$G$39,MATCH($A51,'Data inputs'!$A$29:$A$39,0),MATCH($A$1,'Data inputs'!$B$28:$G$28,0)))</f>
        <v>767170.00016070635</v>
      </c>
      <c r="C51" s="32">
        <f>IF($B23*$D23*C38&gt;0,$B23*$D23*C38,INDEX('Data inputs'!$B$29:$G$39,MATCH($A51,'Data inputs'!$A$29:$A$39,0),MATCH($A$1,'Data inputs'!$B$28:$G$28,0)))</f>
        <v>767170.00016070635</v>
      </c>
      <c r="D51" s="32">
        <f>IF($B23*$D23*D38&gt;0,$B23*$D23*D38,INDEX('Data inputs'!$B$29:$G$39,MATCH($A51,'Data inputs'!$A$29:$A$39,0),MATCH($A$1,'Data inputs'!$B$28:$G$28,0)))</f>
        <v>767170.00016070635</v>
      </c>
      <c r="E51" s="32">
        <f>IF($B23*$D23*E38&gt;0,$B23*$D23*E38,INDEX('Data inputs'!$B$29:$G$39,MATCH($A51,'Data inputs'!$A$29:$A$39,0),MATCH($A$1,'Data inputs'!$B$28:$G$28,0)))</f>
        <v>767170.00016070635</v>
      </c>
      <c r="F51" s="32">
        <f>IF($B23*$D23*F38&gt;0,$B23*$D23*F38,INDEX('Data inputs'!$B$29:$G$39,MATCH($A51,'Data inputs'!$A$29:$A$39,0),MATCH($A$1,'Data inputs'!$B$28:$G$28,0)))</f>
        <v>767170.00016070635</v>
      </c>
      <c r="G51" s="32">
        <f>IF($B23*$D23*G38&gt;0,$B23*$D23*G38,INDEX('Data inputs'!$B$29:$G$39,MATCH($A51,'Data inputs'!$A$29:$A$39,0),MATCH($A$1,'Data inputs'!$B$28:$G$28,0)))</f>
        <v>767170.00016070635</v>
      </c>
      <c r="H51" s="32">
        <f>IF($B23*$D23*H38&gt;0,$B23*$D23*H38,INDEX('Data inputs'!$B$29:$G$39,MATCH($A51,'Data inputs'!$A$29:$A$39,0),MATCH($A$1,'Data inputs'!$B$28:$G$28,0)))</f>
        <v>767170.00016070635</v>
      </c>
      <c r="I51" s="32">
        <f>IF($B23*$D23*I38&gt;0,$B23*$D23*I38,INDEX('Data inputs'!$B$29:$G$39,MATCH($A51,'Data inputs'!$A$29:$A$39,0),MATCH($A$1,'Data inputs'!$B$28:$G$28,0)))</f>
        <v>767170.00016070635</v>
      </c>
      <c r="J51" s="32">
        <f>IF($B23*$D23*J38&gt;0,$B23*$D23*J38,INDEX('Data inputs'!$B$29:$G$39,MATCH($A51,'Data inputs'!$A$29:$A$39,0),MATCH($A$1,'Data inputs'!$B$28:$G$28,0)))</f>
        <v>767170.00016070635</v>
      </c>
      <c r="K51" s="32">
        <f>IF($B23*$D23*K38&gt;0,$B23*$D23*K38,INDEX('Data inputs'!$B$29:$G$39,MATCH($A51,'Data inputs'!$A$29:$A$39,0),MATCH($A$1,'Data inputs'!$B$28:$G$28,0)))</f>
        <v>767170.00016070635</v>
      </c>
      <c r="L51" s="5">
        <f t="shared" si="16"/>
        <v>767170.00016070635</v>
      </c>
      <c r="N51" s="5">
        <f t="shared" si="17"/>
        <v>767170.00016070635</v>
      </c>
    </row>
    <row r="52" spans="1:14" x14ac:dyDescent="0.25">
      <c r="A52" s="4" t="s">
        <v>37</v>
      </c>
      <c r="B52" s="32">
        <f>IF($B24*$D24*B39&gt;0,$B24*$D24*B39,INDEX('Data inputs'!$B$29:$G$39,MATCH($A52,'Data inputs'!$A$29:$A$39,0),MATCH($A$1,'Data inputs'!$B$28:$G$28,0)))</f>
        <v>22314962.56192081</v>
      </c>
      <c r="C52" s="32">
        <f>IF($B24*$D24*C39&gt;0,$B24*$D24*C39,INDEX('Data inputs'!$B$29:$G$39,MATCH($A52,'Data inputs'!$A$29:$A$39,0),MATCH($A$1,'Data inputs'!$B$28:$G$28,0)))</f>
        <v>22314962.56192081</v>
      </c>
      <c r="D52" s="32">
        <f>IF($B24*$D24*D39&gt;0,$B24*$D24*D39,INDEX('Data inputs'!$B$29:$G$39,MATCH($A52,'Data inputs'!$A$29:$A$39,0),MATCH($A$1,'Data inputs'!$B$28:$G$28,0)))</f>
        <v>22314962.56192081</v>
      </c>
      <c r="E52" s="32">
        <f>IF($B24*$D24*E39&gt;0,$B24*$D24*E39,INDEX('Data inputs'!$B$29:$G$39,MATCH($A52,'Data inputs'!$A$29:$A$39,0),MATCH($A$1,'Data inputs'!$B$28:$G$28,0)))</f>
        <v>22314962.56192081</v>
      </c>
      <c r="F52" s="32">
        <f>IF($B24*$D24*F39&gt;0,$B24*$D24*F39,INDEX('Data inputs'!$B$29:$G$39,MATCH($A52,'Data inputs'!$A$29:$A$39,0),MATCH($A$1,'Data inputs'!$B$28:$G$28,0)))</f>
        <v>22314962.56192081</v>
      </c>
      <c r="G52" s="32">
        <f>IF($B24*$D24*G39&gt;0,$B24*$D24*G39,INDEX('Data inputs'!$B$29:$G$39,MATCH($A52,'Data inputs'!$A$29:$A$39,0),MATCH($A$1,'Data inputs'!$B$28:$G$28,0)))</f>
        <v>22314962.56192081</v>
      </c>
      <c r="H52" s="32">
        <f>IF($B24*$D24*H39&gt;0,$B24*$D24*H39,INDEX('Data inputs'!$B$29:$G$39,MATCH($A52,'Data inputs'!$A$29:$A$39,0),MATCH($A$1,'Data inputs'!$B$28:$G$28,0)))</f>
        <v>22314962.56192081</v>
      </c>
      <c r="I52" s="32">
        <f>IF($B24*$D24*I39&gt;0,$B24*$D24*I39,INDEX('Data inputs'!$B$29:$G$39,MATCH($A52,'Data inputs'!$A$29:$A$39,0),MATCH($A$1,'Data inputs'!$B$28:$G$28,0)))</f>
        <v>22314962.56192081</v>
      </c>
      <c r="J52" s="32">
        <f>IF($B24*$D24*J39&gt;0,$B24*$D24*J39,INDEX('Data inputs'!$B$29:$G$39,MATCH($A52,'Data inputs'!$A$29:$A$39,0),MATCH($A$1,'Data inputs'!$B$28:$G$28,0)))</f>
        <v>22314962.56192081</v>
      </c>
      <c r="K52" s="32">
        <f>IF($B24*$D24*K39&gt;0,$B24*$D24*K39,INDEX('Data inputs'!$B$29:$G$39,MATCH($A52,'Data inputs'!$A$29:$A$39,0),MATCH($A$1,'Data inputs'!$B$28:$G$28,0)))</f>
        <v>22314962.56192081</v>
      </c>
      <c r="L52" s="5">
        <f t="shared" si="16"/>
        <v>22314962.561920814</v>
      </c>
      <c r="N52" s="5">
        <f t="shared" si="17"/>
        <v>22314962.56192081</v>
      </c>
    </row>
    <row r="53" spans="1:14" x14ac:dyDescent="0.25">
      <c r="A53" s="4" t="s">
        <v>38</v>
      </c>
      <c r="B53" s="32">
        <f>IF($B25*$D25*B40&gt;0,$B25*$D25*B40,INDEX('Data inputs'!$B$29:$G$39,MATCH($A53,'Data inputs'!$A$29:$A$39,0),MATCH($A$1,'Data inputs'!$B$28:$G$28,0)))</f>
        <v>2991372.606219403</v>
      </c>
      <c r="C53" s="32">
        <f>IF($B25*$D25*C40&gt;0,$B25*$D25*C40,INDEX('Data inputs'!$B$29:$G$39,MATCH($A53,'Data inputs'!$A$29:$A$39,0),MATCH($A$1,'Data inputs'!$B$28:$G$28,0)))</f>
        <v>2991372.606219403</v>
      </c>
      <c r="D53" s="32">
        <f>IF($B25*$D25*D40&gt;0,$B25*$D25*D40,INDEX('Data inputs'!$B$29:$G$39,MATCH($A53,'Data inputs'!$A$29:$A$39,0),MATCH($A$1,'Data inputs'!$B$28:$G$28,0)))</f>
        <v>2991372.606219403</v>
      </c>
      <c r="E53" s="32">
        <f>IF($B25*$D25*E40&gt;0,$B25*$D25*E40,INDEX('Data inputs'!$B$29:$G$39,MATCH($A53,'Data inputs'!$A$29:$A$39,0),MATCH($A$1,'Data inputs'!$B$28:$G$28,0)))</f>
        <v>2991372.606219403</v>
      </c>
      <c r="F53" s="32">
        <f>IF($B25*$D25*F40&gt;0,$B25*$D25*F40,INDEX('Data inputs'!$B$29:$G$39,MATCH($A53,'Data inputs'!$A$29:$A$39,0),MATCH($A$1,'Data inputs'!$B$28:$G$28,0)))</f>
        <v>2991372.606219403</v>
      </c>
      <c r="G53" s="32">
        <f>IF($B25*$D25*G40&gt;0,$B25*$D25*G40,INDEX('Data inputs'!$B$29:$G$39,MATCH($A53,'Data inputs'!$A$29:$A$39,0),MATCH($A$1,'Data inputs'!$B$28:$G$28,0)))</f>
        <v>2991372.606219403</v>
      </c>
      <c r="H53" s="32">
        <f>IF($B25*$D25*H40&gt;0,$B25*$D25*H40,INDEX('Data inputs'!$B$29:$G$39,MATCH($A53,'Data inputs'!$A$29:$A$39,0),MATCH($A$1,'Data inputs'!$B$28:$G$28,0)))</f>
        <v>2991372.606219403</v>
      </c>
      <c r="I53" s="32">
        <f>IF($B25*$D25*I40&gt;0,$B25*$D25*I40,INDEX('Data inputs'!$B$29:$G$39,MATCH($A53,'Data inputs'!$A$29:$A$39,0),MATCH($A$1,'Data inputs'!$B$28:$G$28,0)))</f>
        <v>2991372.606219403</v>
      </c>
      <c r="J53" s="32">
        <f>IF($B25*$D25*J40&gt;0,$B25*$D25*J40,INDEX('Data inputs'!$B$29:$G$39,MATCH($A53,'Data inputs'!$A$29:$A$39,0),MATCH($A$1,'Data inputs'!$B$28:$G$28,0)))</f>
        <v>2991372.606219403</v>
      </c>
      <c r="K53" s="32">
        <f>IF($B25*$D25*K40&gt;0,$B25*$D25*K40,INDEX('Data inputs'!$B$29:$G$39,MATCH($A53,'Data inputs'!$A$29:$A$39,0),MATCH($A$1,'Data inputs'!$B$28:$G$28,0)))</f>
        <v>2991372.606219403</v>
      </c>
      <c r="L53" s="5">
        <f t="shared" si="16"/>
        <v>2991372.606219403</v>
      </c>
      <c r="N53" s="5">
        <f t="shared" si="17"/>
        <v>2991372.606219403</v>
      </c>
    </row>
    <row r="54" spans="1:14" x14ac:dyDescent="0.25">
      <c r="A54" s="4" t="s">
        <v>15</v>
      </c>
      <c r="B54" s="13">
        <f>IF($B26*$D26*B41&gt;0,$B26*$D26*B41,INDEX('Data inputs'!$B$29:$G$39,MATCH($A54,'Data inputs'!$A$29:$A$39,0),MATCH($A$1,'Data inputs'!$B$28:$G$28,0)))</f>
        <v>25880903.857711378</v>
      </c>
      <c r="C54" s="13">
        <f>IF($B26*$D26*C41&gt;0,$B26*$D26*C41,INDEX('Data inputs'!$B$29:$G$39,MATCH($A54,'Data inputs'!$A$29:$A$39,0),MATCH($A$1,'Data inputs'!$B$28:$G$28,0)))</f>
        <v>25880903.857711378</v>
      </c>
      <c r="D54" s="13">
        <f>IF($B26*$D26*D41&gt;0,$B26*$D26*D41,INDEX('Data inputs'!$B$29:$G$39,MATCH($A54,'Data inputs'!$A$29:$A$39,0),MATCH($A$1,'Data inputs'!$B$28:$G$28,0)))</f>
        <v>25880903.857711378</v>
      </c>
      <c r="E54" s="13">
        <f>IF($B26*$D26*E41&gt;0,$B26*$D26*E41,INDEX('Data inputs'!$B$29:$G$39,MATCH($A54,'Data inputs'!$A$29:$A$39,0),MATCH($A$1,'Data inputs'!$B$28:$G$28,0)))</f>
        <v>25880903.857711378</v>
      </c>
      <c r="F54" s="13">
        <f>IF($B26*$D26*F41&gt;0,$B26*$D26*F41,INDEX('Data inputs'!$B$29:$G$39,MATCH($A54,'Data inputs'!$A$29:$A$39,0),MATCH($A$1,'Data inputs'!$B$28:$G$28,0)))</f>
        <v>25880903.857711378</v>
      </c>
      <c r="G54" s="13">
        <f>IF($B26*$D26*G41&gt;0,$B26*$D26*G41,INDEX('Data inputs'!$B$29:$G$39,MATCH($A54,'Data inputs'!$A$29:$A$39,0),MATCH($A$1,'Data inputs'!$B$28:$G$28,0)))</f>
        <v>25880903.857711378</v>
      </c>
      <c r="H54" s="13">
        <f>IF($B26*$D26*H41&gt;0,$B26*$D26*H41,INDEX('Data inputs'!$B$29:$G$39,MATCH($A54,'Data inputs'!$A$29:$A$39,0),MATCH($A$1,'Data inputs'!$B$28:$G$28,0)))</f>
        <v>25880903.857711378</v>
      </c>
      <c r="I54" s="13">
        <f>IF($B26*$D26*I41&gt;0,$B26*$D26*I41,INDEX('Data inputs'!$B$29:$G$39,MATCH($A54,'Data inputs'!$A$29:$A$39,0),MATCH($A$1,'Data inputs'!$B$28:$G$28,0)))</f>
        <v>25880903.857711378</v>
      </c>
      <c r="J54" s="13">
        <f>IF($B26*$D26*J41&gt;0,$B26*$D26*J41,INDEX('Data inputs'!$B$29:$G$39,MATCH($A54,'Data inputs'!$A$29:$A$39,0),MATCH($A$1,'Data inputs'!$B$28:$G$28,0)))</f>
        <v>25880903.857711378</v>
      </c>
      <c r="K54" s="13">
        <f>IF($B26*$D26*K41&gt;0,$B26*$D26*K41,INDEX('Data inputs'!$B$29:$G$39,MATCH($A54,'Data inputs'!$A$29:$A$39,0),MATCH($A$1,'Data inputs'!$B$28:$G$28,0)))</f>
        <v>25880903.857711378</v>
      </c>
      <c r="L54" s="5">
        <f t="shared" si="16"/>
        <v>25880903.857711378</v>
      </c>
      <c r="N54" s="5">
        <f t="shared" si="17"/>
        <v>25880903.857711378</v>
      </c>
    </row>
    <row r="55" spans="1:14" x14ac:dyDescent="0.25">
      <c r="B55" s="5">
        <f t="shared" ref="B55:K55" si="18">SUM(B44:B54)</f>
        <v>87236620.773674354</v>
      </c>
      <c r="C55" s="5">
        <f t="shared" si="18"/>
        <v>87236620.773674354</v>
      </c>
      <c r="D55" s="5">
        <f t="shared" si="18"/>
        <v>87236620.773674354</v>
      </c>
      <c r="E55" s="5">
        <f t="shared" si="18"/>
        <v>87236620.773674354</v>
      </c>
      <c r="F55" s="5">
        <f t="shared" si="18"/>
        <v>87236620.773674354</v>
      </c>
      <c r="G55" s="5">
        <f t="shared" si="18"/>
        <v>87236620.773674354</v>
      </c>
      <c r="H55" s="5">
        <f t="shared" si="18"/>
        <v>87236620.773674354</v>
      </c>
      <c r="I55" s="5">
        <f t="shared" si="18"/>
        <v>87236620.773674354</v>
      </c>
      <c r="J55" s="5">
        <f t="shared" si="18"/>
        <v>87236620.773674354</v>
      </c>
      <c r="K55" s="5">
        <f t="shared" si="18"/>
        <v>87236620.773674354</v>
      </c>
      <c r="L55" s="5"/>
    </row>
    <row r="56" spans="1:14" x14ac:dyDescent="0.25">
      <c r="B56" s="5"/>
      <c r="C56" s="5"/>
      <c r="D56" s="5"/>
      <c r="E56" s="5"/>
      <c r="F56" s="5"/>
      <c r="G56" s="5"/>
      <c r="H56" s="5"/>
      <c r="I56" s="5"/>
      <c r="J56" s="5"/>
      <c r="K56" s="5"/>
      <c r="L56" s="5"/>
    </row>
    <row r="57" spans="1:14" s="1" customFormat="1" ht="30" x14ac:dyDescent="0.25">
      <c r="A57" s="15" t="s">
        <v>56</v>
      </c>
      <c r="B57" s="12" t="str">
        <f>'Summary dashboard'!C4</f>
        <v>2023</v>
      </c>
      <c r="C57" s="12">
        <f t="shared" ref="C57:K57" si="19">B57+1</f>
        <v>2024</v>
      </c>
      <c r="D57" s="12">
        <f t="shared" si="19"/>
        <v>2025</v>
      </c>
      <c r="E57" s="12">
        <f t="shared" si="19"/>
        <v>2026</v>
      </c>
      <c r="F57" s="12">
        <f t="shared" si="19"/>
        <v>2027</v>
      </c>
      <c r="G57" s="12">
        <f t="shared" si="19"/>
        <v>2028</v>
      </c>
      <c r="H57" s="12">
        <f t="shared" si="19"/>
        <v>2029</v>
      </c>
      <c r="I57" s="12">
        <f t="shared" si="19"/>
        <v>2030</v>
      </c>
      <c r="J57" s="12">
        <f t="shared" si="19"/>
        <v>2031</v>
      </c>
      <c r="K57" s="12">
        <f t="shared" si="19"/>
        <v>2032</v>
      </c>
      <c r="L57" s="1" t="s">
        <v>28</v>
      </c>
    </row>
    <row r="58" spans="1:14" x14ac:dyDescent="0.25">
      <c r="A58" s="4" t="s">
        <v>35</v>
      </c>
      <c r="B58" s="5">
        <f>B44*'Data inputs'!$B14</f>
        <v>5666219.6838893015</v>
      </c>
      <c r="C58" s="5">
        <f>C44*'Data inputs'!$B14</f>
        <v>5666219.6838893015</v>
      </c>
      <c r="D58" s="5">
        <f>D44*'Data inputs'!$B14</f>
        <v>5666219.6838893015</v>
      </c>
      <c r="E58" s="5">
        <f>E44*'Data inputs'!$B14</f>
        <v>5666219.6838893015</v>
      </c>
      <c r="F58" s="5">
        <f>F44*'Data inputs'!$B14</f>
        <v>5666219.6838893015</v>
      </c>
      <c r="G58" s="5">
        <f>G44*'Data inputs'!$B14</f>
        <v>5666219.6838893015</v>
      </c>
      <c r="H58" s="5">
        <f>H44*'Data inputs'!$B14</f>
        <v>5666219.6838893015</v>
      </c>
      <c r="I58" s="5">
        <f>I44*'Data inputs'!$B14</f>
        <v>5666219.6838893015</v>
      </c>
      <c r="J58" s="5">
        <f>J44*'Data inputs'!$B14</f>
        <v>5666219.6838893015</v>
      </c>
      <c r="K58" s="5">
        <f>K44*'Data inputs'!$B14</f>
        <v>5666219.6838893015</v>
      </c>
      <c r="L58" s="5">
        <f t="shared" ref="L58:L68" si="20">AVERAGE(B58:K58)</f>
        <v>5666219.6838893006</v>
      </c>
    </row>
    <row r="59" spans="1:14" x14ac:dyDescent="0.25">
      <c r="A59" s="4" t="s">
        <v>36</v>
      </c>
      <c r="B59" s="5">
        <f>B45*'Data inputs'!$B15</f>
        <v>1210179.6103478344</v>
      </c>
      <c r="C59" s="5">
        <f>C45*'Data inputs'!$B15</f>
        <v>1210179.6103478344</v>
      </c>
      <c r="D59" s="5">
        <f>D45*'Data inputs'!$B15</f>
        <v>1210179.6103478344</v>
      </c>
      <c r="E59" s="5">
        <f>E45*'Data inputs'!$B15</f>
        <v>1210179.6103478344</v>
      </c>
      <c r="F59" s="5">
        <f>F45*'Data inputs'!$B15</f>
        <v>1210179.6103478344</v>
      </c>
      <c r="G59" s="5">
        <f>G45*'Data inputs'!$B15</f>
        <v>1210179.6103478344</v>
      </c>
      <c r="H59" s="5">
        <f>H45*'Data inputs'!$B15</f>
        <v>1210179.6103478344</v>
      </c>
      <c r="I59" s="5">
        <f>I45*'Data inputs'!$B15</f>
        <v>1210179.6103478344</v>
      </c>
      <c r="J59" s="5">
        <f>J45*'Data inputs'!$B15</f>
        <v>1210179.6103478344</v>
      </c>
      <c r="K59" s="5">
        <f>K45*'Data inputs'!$B15</f>
        <v>1210179.6103478344</v>
      </c>
      <c r="L59" s="5">
        <f t="shared" si="20"/>
        <v>1210179.6103478342</v>
      </c>
    </row>
    <row r="60" spans="1:14" x14ac:dyDescent="0.25">
      <c r="A60" s="4" t="s">
        <v>11</v>
      </c>
      <c r="B60" s="5">
        <f>B46*'Data inputs'!$B16</f>
        <v>0</v>
      </c>
      <c r="C60" s="5">
        <f>C46*'Data inputs'!$B16</f>
        <v>0</v>
      </c>
      <c r="D60" s="5">
        <f>D46*'Data inputs'!$B16</f>
        <v>0</v>
      </c>
      <c r="E60" s="5">
        <f>E46*'Data inputs'!$B16</f>
        <v>0</v>
      </c>
      <c r="F60" s="5">
        <f>F46*'Data inputs'!$B16</f>
        <v>0</v>
      </c>
      <c r="G60" s="5">
        <f>G46*'Data inputs'!$B16</f>
        <v>0</v>
      </c>
      <c r="H60" s="5">
        <f>H46*'Data inputs'!$B16</f>
        <v>0</v>
      </c>
      <c r="I60" s="5">
        <f>I46*'Data inputs'!$B16</f>
        <v>0</v>
      </c>
      <c r="J60" s="5">
        <f>J46*'Data inputs'!$B16</f>
        <v>0</v>
      </c>
      <c r="K60" s="5">
        <f>K46*'Data inputs'!$B16</f>
        <v>0</v>
      </c>
      <c r="L60" s="5">
        <f t="shared" si="20"/>
        <v>0</v>
      </c>
    </row>
    <row r="61" spans="1:14" x14ac:dyDescent="0.25">
      <c r="A61" s="4" t="s">
        <v>124</v>
      </c>
      <c r="B61" s="5">
        <f>B47*'Data inputs'!$B17</f>
        <v>553923.06314992998</v>
      </c>
      <c r="C61" s="5">
        <f>C47*'Data inputs'!$B17</f>
        <v>553923.06314992998</v>
      </c>
      <c r="D61" s="5">
        <f>D47*'Data inputs'!$B17</f>
        <v>553923.06314992998</v>
      </c>
      <c r="E61" s="5">
        <f>E47*'Data inputs'!$B17</f>
        <v>553923.06314992998</v>
      </c>
      <c r="F61" s="5">
        <f>F47*'Data inputs'!$B17</f>
        <v>553923.06314992998</v>
      </c>
      <c r="G61" s="5">
        <f>G47*'Data inputs'!$B17</f>
        <v>553923.06314992998</v>
      </c>
      <c r="H61" s="5">
        <f>H47*'Data inputs'!$B17</f>
        <v>553923.06314992998</v>
      </c>
      <c r="I61" s="5">
        <f>I47*'Data inputs'!$B17</f>
        <v>553923.06314992998</v>
      </c>
      <c r="J61" s="5">
        <f>J47*'Data inputs'!$B17</f>
        <v>553923.06314992998</v>
      </c>
      <c r="K61" s="5">
        <f>K47*'Data inputs'!$B17</f>
        <v>553923.06314992998</v>
      </c>
      <c r="L61" s="5">
        <f t="shared" si="20"/>
        <v>553923.06314992998</v>
      </c>
    </row>
    <row r="62" spans="1:14" x14ac:dyDescent="0.25">
      <c r="A62" s="4" t="s">
        <v>12</v>
      </c>
      <c r="B62" s="5">
        <f>B48*'Data inputs'!$B18</f>
        <v>2319714.9022037964</v>
      </c>
      <c r="C62" s="5">
        <f>C48*'Data inputs'!$B18</f>
        <v>2319714.9022037964</v>
      </c>
      <c r="D62" s="5">
        <f>D48*'Data inputs'!$B18</f>
        <v>2319714.9022037964</v>
      </c>
      <c r="E62" s="5">
        <f>E48*'Data inputs'!$B18</f>
        <v>2319714.9022037964</v>
      </c>
      <c r="F62" s="5">
        <f>F48*'Data inputs'!$B18</f>
        <v>2319714.9022037964</v>
      </c>
      <c r="G62" s="5">
        <f>G48*'Data inputs'!$B18</f>
        <v>2319714.9022037964</v>
      </c>
      <c r="H62" s="5">
        <f>H48*'Data inputs'!$B18</f>
        <v>2319714.9022037964</v>
      </c>
      <c r="I62" s="5">
        <f>I48*'Data inputs'!$B18</f>
        <v>2319714.9022037964</v>
      </c>
      <c r="J62" s="5">
        <f>J48*'Data inputs'!$B18</f>
        <v>2319714.9022037964</v>
      </c>
      <c r="K62" s="5">
        <f>K48*'Data inputs'!$B18</f>
        <v>2319714.9022037964</v>
      </c>
      <c r="L62" s="5">
        <f t="shared" si="20"/>
        <v>2319714.9022037969</v>
      </c>
    </row>
    <row r="63" spans="1:14" x14ac:dyDescent="0.25">
      <c r="A63" s="4" t="s">
        <v>13</v>
      </c>
      <c r="B63" s="5">
        <f>B49*'Data inputs'!$B19</f>
        <v>0</v>
      </c>
      <c r="C63" s="5">
        <f>C49*'Data inputs'!$B19</f>
        <v>0</v>
      </c>
      <c r="D63" s="5">
        <f>D49*'Data inputs'!$B19</f>
        <v>0</v>
      </c>
      <c r="E63" s="5">
        <f>E49*'Data inputs'!$B19</f>
        <v>0</v>
      </c>
      <c r="F63" s="5">
        <f>F49*'Data inputs'!$B19</f>
        <v>0</v>
      </c>
      <c r="G63" s="5">
        <f>G49*'Data inputs'!$B19</f>
        <v>0</v>
      </c>
      <c r="H63" s="5">
        <f>H49*'Data inputs'!$B19</f>
        <v>0</v>
      </c>
      <c r="I63" s="5">
        <f>I49*'Data inputs'!$B19</f>
        <v>0</v>
      </c>
      <c r="J63" s="5">
        <f>J49*'Data inputs'!$B19</f>
        <v>0</v>
      </c>
      <c r="K63" s="5">
        <f>K49*'Data inputs'!$B19</f>
        <v>0</v>
      </c>
      <c r="L63" s="5">
        <f t="shared" si="20"/>
        <v>0</v>
      </c>
    </row>
    <row r="64" spans="1:14" x14ac:dyDescent="0.25">
      <c r="A64" s="4" t="s">
        <v>14</v>
      </c>
      <c r="B64" s="5">
        <f>B50*'Data inputs'!$B20</f>
        <v>0</v>
      </c>
      <c r="C64" s="5">
        <f>C50*'Data inputs'!$B20</f>
        <v>0</v>
      </c>
      <c r="D64" s="5">
        <f>D50*'Data inputs'!$B20</f>
        <v>0</v>
      </c>
      <c r="E64" s="5">
        <f>E50*'Data inputs'!$B20</f>
        <v>0</v>
      </c>
      <c r="F64" s="5">
        <f>F50*'Data inputs'!$B20</f>
        <v>0</v>
      </c>
      <c r="G64" s="5">
        <f>G50*'Data inputs'!$B20</f>
        <v>0</v>
      </c>
      <c r="H64" s="5">
        <f>H50*'Data inputs'!$B20</f>
        <v>0</v>
      </c>
      <c r="I64" s="5">
        <f>I50*'Data inputs'!$B20</f>
        <v>0</v>
      </c>
      <c r="J64" s="5">
        <f>J50*'Data inputs'!$B20</f>
        <v>0</v>
      </c>
      <c r="K64" s="5">
        <f>K50*'Data inputs'!$B20</f>
        <v>0</v>
      </c>
      <c r="L64" s="5">
        <f t="shared" si="20"/>
        <v>0</v>
      </c>
    </row>
    <row r="65" spans="1:12" x14ac:dyDescent="0.25">
      <c r="A65" s="4" t="s">
        <v>125</v>
      </c>
      <c r="B65" s="5">
        <f>B51*'Data inputs'!$B21</f>
        <v>613736.00012856501</v>
      </c>
      <c r="C65" s="5">
        <f>C51*'Data inputs'!$B21</f>
        <v>613736.00012856501</v>
      </c>
      <c r="D65" s="5">
        <f>D51*'Data inputs'!$B21</f>
        <v>613736.00012856501</v>
      </c>
      <c r="E65" s="5">
        <f>E51*'Data inputs'!$B21</f>
        <v>613736.00012856501</v>
      </c>
      <c r="F65" s="5">
        <f>F51*'Data inputs'!$B21</f>
        <v>613736.00012856501</v>
      </c>
      <c r="G65" s="5">
        <f>G51*'Data inputs'!$B21</f>
        <v>613736.00012856501</v>
      </c>
      <c r="H65" s="5">
        <f>H51*'Data inputs'!$B21</f>
        <v>613736.00012856501</v>
      </c>
      <c r="I65" s="5">
        <f>I51*'Data inputs'!$B21</f>
        <v>613736.00012856501</v>
      </c>
      <c r="J65" s="5">
        <f>J51*'Data inputs'!$B21</f>
        <v>613736.00012856501</v>
      </c>
      <c r="K65" s="5">
        <f>K51*'Data inputs'!$B21</f>
        <v>613736.00012856501</v>
      </c>
      <c r="L65" s="5">
        <f t="shared" si="20"/>
        <v>613736.00012856512</v>
      </c>
    </row>
    <row r="66" spans="1:12" x14ac:dyDescent="0.25">
      <c r="A66" s="4" t="s">
        <v>37</v>
      </c>
      <c r="B66" s="5">
        <f>B52*'Data inputs'!$B22</f>
        <v>14058426.414010111</v>
      </c>
      <c r="C66" s="5">
        <f>C52*'Data inputs'!$B22</f>
        <v>14058426.414010111</v>
      </c>
      <c r="D66" s="5">
        <f>D52*'Data inputs'!$B22</f>
        <v>14058426.414010111</v>
      </c>
      <c r="E66" s="5">
        <f>E52*'Data inputs'!$B22</f>
        <v>14058426.414010111</v>
      </c>
      <c r="F66" s="5">
        <f>F52*'Data inputs'!$B22</f>
        <v>14058426.414010111</v>
      </c>
      <c r="G66" s="5">
        <f>G52*'Data inputs'!$B22</f>
        <v>14058426.414010111</v>
      </c>
      <c r="H66" s="5">
        <f>H52*'Data inputs'!$B22</f>
        <v>14058426.414010111</v>
      </c>
      <c r="I66" s="5">
        <f>I52*'Data inputs'!$B22</f>
        <v>14058426.414010111</v>
      </c>
      <c r="J66" s="5">
        <f>J52*'Data inputs'!$B22</f>
        <v>14058426.414010111</v>
      </c>
      <c r="K66" s="5">
        <f>K52*'Data inputs'!$B22</f>
        <v>14058426.414010111</v>
      </c>
      <c r="L66" s="5">
        <f t="shared" si="20"/>
        <v>14058426.414010111</v>
      </c>
    </row>
    <row r="67" spans="1:12" x14ac:dyDescent="0.25">
      <c r="A67" s="4" t="s">
        <v>38</v>
      </c>
      <c r="B67" s="5">
        <f>B53*'Data inputs'!$B23</f>
        <v>299137.26062194031</v>
      </c>
      <c r="C67" s="5">
        <f>C53*'Data inputs'!$B23</f>
        <v>299137.26062194031</v>
      </c>
      <c r="D67" s="5">
        <f>D53*'Data inputs'!$B23</f>
        <v>299137.26062194031</v>
      </c>
      <c r="E67" s="5">
        <f>E53*'Data inputs'!$B23</f>
        <v>299137.26062194031</v>
      </c>
      <c r="F67" s="5">
        <f>F53*'Data inputs'!$B23</f>
        <v>299137.26062194031</v>
      </c>
      <c r="G67" s="5">
        <f>G53*'Data inputs'!$B23</f>
        <v>299137.26062194031</v>
      </c>
      <c r="H67" s="5">
        <f>H53*'Data inputs'!$B23</f>
        <v>299137.26062194031</v>
      </c>
      <c r="I67" s="5">
        <f>I53*'Data inputs'!$B23</f>
        <v>299137.26062194031</v>
      </c>
      <c r="J67" s="5">
        <f>J53*'Data inputs'!$B23</f>
        <v>299137.26062194031</v>
      </c>
      <c r="K67" s="5">
        <f>K53*'Data inputs'!$B23</f>
        <v>299137.26062194031</v>
      </c>
      <c r="L67" s="5">
        <f t="shared" si="20"/>
        <v>299137.26062194031</v>
      </c>
    </row>
    <row r="68" spans="1:12" x14ac:dyDescent="0.25">
      <c r="A68" s="4" t="s">
        <v>15</v>
      </c>
      <c r="B68" s="13">
        <f>B54*'Data inputs'!$B24</f>
        <v>10352361.543084553</v>
      </c>
      <c r="C68" s="13">
        <f>C54*'Data inputs'!$B24</f>
        <v>10352361.543084553</v>
      </c>
      <c r="D68" s="13">
        <f>D54*'Data inputs'!$B24</f>
        <v>10352361.543084553</v>
      </c>
      <c r="E68" s="13">
        <f>E54*'Data inputs'!$B24</f>
        <v>10352361.543084553</v>
      </c>
      <c r="F68" s="13">
        <f>F54*'Data inputs'!$B24</f>
        <v>10352361.543084553</v>
      </c>
      <c r="G68" s="13">
        <f>G54*'Data inputs'!$B24</f>
        <v>10352361.543084553</v>
      </c>
      <c r="H68" s="13">
        <f>H54*'Data inputs'!$B24</f>
        <v>10352361.543084553</v>
      </c>
      <c r="I68" s="13">
        <f>I54*'Data inputs'!$B24</f>
        <v>10352361.543084553</v>
      </c>
      <c r="J68" s="13">
        <f>J54*'Data inputs'!$B24</f>
        <v>10352361.543084553</v>
      </c>
      <c r="K68" s="13">
        <f>K54*'Data inputs'!$B24</f>
        <v>10352361.543084553</v>
      </c>
      <c r="L68" s="5">
        <f t="shared" si="20"/>
        <v>10352361.543084551</v>
      </c>
    </row>
    <row r="69" spans="1:12" x14ac:dyDescent="0.25">
      <c r="B69" s="5">
        <f t="shared" ref="B69:K69" si="21">SUM(B58:B68)</f>
        <v>35073698.477436028</v>
      </c>
      <c r="C69" s="5">
        <f t="shared" si="21"/>
        <v>35073698.477436028</v>
      </c>
      <c r="D69" s="5">
        <f t="shared" si="21"/>
        <v>35073698.477436028</v>
      </c>
      <c r="E69" s="5">
        <f t="shared" si="21"/>
        <v>35073698.477436028</v>
      </c>
      <c r="F69" s="5">
        <f t="shared" si="21"/>
        <v>35073698.477436028</v>
      </c>
      <c r="G69" s="5">
        <f t="shared" si="21"/>
        <v>35073698.477436028</v>
      </c>
      <c r="H69" s="5">
        <f t="shared" si="21"/>
        <v>35073698.477436028</v>
      </c>
      <c r="I69" s="5">
        <f t="shared" si="21"/>
        <v>35073698.477436028</v>
      </c>
      <c r="J69" s="5">
        <f t="shared" si="21"/>
        <v>35073698.477436028</v>
      </c>
      <c r="K69" s="5">
        <f t="shared" si="21"/>
        <v>35073698.477436028</v>
      </c>
      <c r="L69" s="5"/>
    </row>
    <row r="72" spans="1:12" ht="30" x14ac:dyDescent="0.25">
      <c r="A72" s="15" t="s">
        <v>57</v>
      </c>
      <c r="B72" s="12" t="str">
        <f>'Summary dashboard'!C4</f>
        <v>2023</v>
      </c>
      <c r="C72" s="12">
        <f t="shared" ref="C72:K72" si="22">B57+1</f>
        <v>2024</v>
      </c>
      <c r="D72" s="12">
        <f t="shared" si="22"/>
        <v>2025</v>
      </c>
      <c r="E72" s="12">
        <f t="shared" si="22"/>
        <v>2026</v>
      </c>
      <c r="F72" s="12">
        <f t="shared" si="22"/>
        <v>2027</v>
      </c>
      <c r="G72" s="12">
        <f t="shared" si="22"/>
        <v>2028</v>
      </c>
      <c r="H72" s="12">
        <f t="shared" si="22"/>
        <v>2029</v>
      </c>
      <c r="I72" s="12">
        <f t="shared" si="22"/>
        <v>2030</v>
      </c>
      <c r="J72" s="12">
        <f t="shared" si="22"/>
        <v>2031</v>
      </c>
      <c r="K72" s="12">
        <f t="shared" si="22"/>
        <v>2032</v>
      </c>
      <c r="L72" s="1" t="s">
        <v>28</v>
      </c>
    </row>
    <row r="73" spans="1:12" x14ac:dyDescent="0.25">
      <c r="A73" s="4" t="s">
        <v>35</v>
      </c>
      <c r="B73" s="5">
        <f>B44*'Data inputs'!$C14</f>
        <v>4194474.3114505224</v>
      </c>
      <c r="C73" s="5">
        <f>C44*'Data inputs'!$C14</f>
        <v>4194474.3114505224</v>
      </c>
      <c r="D73" s="5">
        <f>D44*'Data inputs'!$C14</f>
        <v>4194474.3114505224</v>
      </c>
      <c r="E73" s="5">
        <f>E44*'Data inputs'!$C14</f>
        <v>4194474.3114505224</v>
      </c>
      <c r="F73" s="5">
        <f>F44*'Data inputs'!$C14</f>
        <v>4194474.3114505224</v>
      </c>
      <c r="G73" s="5">
        <f>G44*'Data inputs'!$C14</f>
        <v>4194474.3114505224</v>
      </c>
      <c r="H73" s="5">
        <f>H44*'Data inputs'!$C14</f>
        <v>4194474.3114505224</v>
      </c>
      <c r="I73" s="5">
        <f>I44*'Data inputs'!$C14</f>
        <v>4194474.3114505224</v>
      </c>
      <c r="J73" s="5">
        <f>J44*'Data inputs'!$C14</f>
        <v>4194474.3114505224</v>
      </c>
      <c r="K73" s="5">
        <f>K44*'Data inputs'!$C14</f>
        <v>4194474.3114505224</v>
      </c>
      <c r="L73" s="5">
        <f>AVERAGE(B73:K73)</f>
        <v>4194474.3114505233</v>
      </c>
    </row>
    <row r="74" spans="1:12" x14ac:dyDescent="0.25">
      <c r="A74" s="4" t="s">
        <v>36</v>
      </c>
      <c r="B74" s="5">
        <f>B45*'Data inputs'!$C15</f>
        <v>403393.20344927814</v>
      </c>
      <c r="C74" s="5">
        <f>C45*'Data inputs'!$C15</f>
        <v>403393.20344927814</v>
      </c>
      <c r="D74" s="5">
        <f>D45*'Data inputs'!$C15</f>
        <v>403393.20344927814</v>
      </c>
      <c r="E74" s="5">
        <f>E45*'Data inputs'!$C15</f>
        <v>403393.20344927814</v>
      </c>
      <c r="F74" s="5">
        <f>F45*'Data inputs'!$C15</f>
        <v>403393.20344927814</v>
      </c>
      <c r="G74" s="5">
        <f>G45*'Data inputs'!$C15</f>
        <v>403393.20344927814</v>
      </c>
      <c r="H74" s="5">
        <f>H45*'Data inputs'!$C15</f>
        <v>403393.20344927814</v>
      </c>
      <c r="I74" s="5">
        <f>I45*'Data inputs'!$C15</f>
        <v>403393.20344927814</v>
      </c>
      <c r="J74" s="5">
        <f>J45*'Data inputs'!$C15</f>
        <v>403393.20344927814</v>
      </c>
      <c r="K74" s="5">
        <f>K45*'Data inputs'!$C15</f>
        <v>403393.20344927814</v>
      </c>
      <c r="L74" s="5">
        <f t="shared" ref="L74:L83" si="23">AVERAGE(B74:K74)</f>
        <v>403393.20344927814</v>
      </c>
    </row>
    <row r="75" spans="1:12" x14ac:dyDescent="0.25">
      <c r="A75" s="4" t="s">
        <v>11</v>
      </c>
      <c r="B75" s="5">
        <f>B46*'Data inputs'!$C16</f>
        <v>0</v>
      </c>
      <c r="C75" s="5">
        <f>C46*'Data inputs'!$C16</f>
        <v>0</v>
      </c>
      <c r="D75" s="5">
        <f>D46*'Data inputs'!$C16</f>
        <v>0</v>
      </c>
      <c r="E75" s="5">
        <f>E46*'Data inputs'!$C16</f>
        <v>0</v>
      </c>
      <c r="F75" s="5">
        <f>F46*'Data inputs'!$C16</f>
        <v>0</v>
      </c>
      <c r="G75" s="5">
        <f>G46*'Data inputs'!$C16</f>
        <v>0</v>
      </c>
      <c r="H75" s="5">
        <f>H46*'Data inputs'!$C16</f>
        <v>0</v>
      </c>
      <c r="I75" s="5">
        <f>I46*'Data inputs'!$C16</f>
        <v>0</v>
      </c>
      <c r="J75" s="5">
        <f>J46*'Data inputs'!$C16</f>
        <v>0</v>
      </c>
      <c r="K75" s="5">
        <f>K46*'Data inputs'!$C16</f>
        <v>0</v>
      </c>
      <c r="L75" s="5">
        <f t="shared" si="23"/>
        <v>0</v>
      </c>
    </row>
    <row r="76" spans="1:12" x14ac:dyDescent="0.25">
      <c r="A76" s="4" t="s">
        <v>124</v>
      </c>
      <c r="B76" s="5">
        <f>B47*'Data inputs'!$C17</f>
        <v>415442.29736244754</v>
      </c>
      <c r="C76" s="5">
        <f>C47*'Data inputs'!$C17</f>
        <v>415442.29736244754</v>
      </c>
      <c r="D76" s="5">
        <f>D47*'Data inputs'!$C17</f>
        <v>415442.29736244754</v>
      </c>
      <c r="E76" s="5">
        <f>E47*'Data inputs'!$C17</f>
        <v>415442.29736244754</v>
      </c>
      <c r="F76" s="5">
        <f>F47*'Data inputs'!$C17</f>
        <v>415442.29736244754</v>
      </c>
      <c r="G76" s="5">
        <f>G47*'Data inputs'!$C17</f>
        <v>415442.29736244754</v>
      </c>
      <c r="H76" s="5">
        <f>H47*'Data inputs'!$C17</f>
        <v>415442.29736244754</v>
      </c>
      <c r="I76" s="5">
        <f>I47*'Data inputs'!$C17</f>
        <v>415442.29736244754</v>
      </c>
      <c r="J76" s="5">
        <f>J47*'Data inputs'!$C17</f>
        <v>415442.29736244754</v>
      </c>
      <c r="K76" s="5">
        <f>K47*'Data inputs'!$C17</f>
        <v>415442.29736244754</v>
      </c>
      <c r="L76" s="5">
        <f t="shared" si="23"/>
        <v>415442.2973624476</v>
      </c>
    </row>
    <row r="77" spans="1:12" x14ac:dyDescent="0.25">
      <c r="A77" s="4" t="s">
        <v>12</v>
      </c>
      <c r="B77" s="5">
        <f>B48*'Data inputs'!$C18</f>
        <v>0</v>
      </c>
      <c r="C77" s="5">
        <f>C48*'Data inputs'!$C18</f>
        <v>0</v>
      </c>
      <c r="D77" s="5">
        <f>D48*'Data inputs'!$C18</f>
        <v>0</v>
      </c>
      <c r="E77" s="5">
        <f>E48*'Data inputs'!$C18</f>
        <v>0</v>
      </c>
      <c r="F77" s="5">
        <f>F48*'Data inputs'!$C18</f>
        <v>0</v>
      </c>
      <c r="G77" s="5">
        <f>G48*'Data inputs'!$C18</f>
        <v>0</v>
      </c>
      <c r="H77" s="5">
        <f>H48*'Data inputs'!$C18</f>
        <v>0</v>
      </c>
      <c r="I77" s="5">
        <f>I48*'Data inputs'!$C18</f>
        <v>0</v>
      </c>
      <c r="J77" s="5">
        <f>J48*'Data inputs'!$C18</f>
        <v>0</v>
      </c>
      <c r="K77" s="5">
        <f>K48*'Data inputs'!$C18</f>
        <v>0</v>
      </c>
      <c r="L77" s="5">
        <f t="shared" si="23"/>
        <v>0</v>
      </c>
    </row>
    <row r="78" spans="1:12" x14ac:dyDescent="0.25">
      <c r="A78" s="4" t="s">
        <v>13</v>
      </c>
      <c r="B78" s="5">
        <f>B49*'Data inputs'!$C19</f>
        <v>0</v>
      </c>
      <c r="C78" s="5">
        <f>C49*'Data inputs'!$C19</f>
        <v>0</v>
      </c>
      <c r="D78" s="5">
        <f>D49*'Data inputs'!$C19</f>
        <v>0</v>
      </c>
      <c r="E78" s="5">
        <f>E49*'Data inputs'!$C19</f>
        <v>0</v>
      </c>
      <c r="F78" s="5">
        <f>F49*'Data inputs'!$C19</f>
        <v>0</v>
      </c>
      <c r="G78" s="5">
        <f>G49*'Data inputs'!$C19</f>
        <v>0</v>
      </c>
      <c r="H78" s="5">
        <f>H49*'Data inputs'!$C19</f>
        <v>0</v>
      </c>
      <c r="I78" s="5">
        <f>I49*'Data inputs'!$C19</f>
        <v>0</v>
      </c>
      <c r="J78" s="5">
        <f>J49*'Data inputs'!$C19</f>
        <v>0</v>
      </c>
      <c r="K78" s="5">
        <f>K49*'Data inputs'!$C19</f>
        <v>0</v>
      </c>
      <c r="L78" s="5">
        <f t="shared" si="23"/>
        <v>0</v>
      </c>
    </row>
    <row r="79" spans="1:12" x14ac:dyDescent="0.25">
      <c r="A79" s="4" t="s">
        <v>14</v>
      </c>
      <c r="B79" s="5">
        <f>B50*'Data inputs'!$C20</f>
        <v>0</v>
      </c>
      <c r="C79" s="5">
        <f>C50*'Data inputs'!$C20</f>
        <v>0</v>
      </c>
      <c r="D79" s="5">
        <f>D50*'Data inputs'!$C20</f>
        <v>0</v>
      </c>
      <c r="E79" s="5">
        <f>E50*'Data inputs'!$C20</f>
        <v>0</v>
      </c>
      <c r="F79" s="5">
        <f>F50*'Data inputs'!$C20</f>
        <v>0</v>
      </c>
      <c r="G79" s="5">
        <f>G50*'Data inputs'!$C20</f>
        <v>0</v>
      </c>
      <c r="H79" s="5">
        <f>H50*'Data inputs'!$C20</f>
        <v>0</v>
      </c>
      <c r="I79" s="5">
        <f>I50*'Data inputs'!$C20</f>
        <v>0</v>
      </c>
      <c r="J79" s="5">
        <f>J50*'Data inputs'!$C20</f>
        <v>0</v>
      </c>
      <c r="K79" s="5">
        <f>K50*'Data inputs'!$C20</f>
        <v>0</v>
      </c>
      <c r="L79" s="5">
        <f t="shared" si="23"/>
        <v>0</v>
      </c>
    </row>
    <row r="80" spans="1:12" x14ac:dyDescent="0.25">
      <c r="A80" s="4" t="s">
        <v>125</v>
      </c>
      <c r="B80" s="5">
        <f>B51*'Data inputs'!$C21</f>
        <v>460302.00009642378</v>
      </c>
      <c r="C80" s="5">
        <f>C51*'Data inputs'!$C21</f>
        <v>460302.00009642378</v>
      </c>
      <c r="D80" s="5">
        <f>D51*'Data inputs'!$C21</f>
        <v>460302.00009642378</v>
      </c>
      <c r="E80" s="5">
        <f>E51*'Data inputs'!$C21</f>
        <v>460302.00009642378</v>
      </c>
      <c r="F80" s="5">
        <f>F51*'Data inputs'!$C21</f>
        <v>460302.00009642378</v>
      </c>
      <c r="G80" s="5">
        <f>G51*'Data inputs'!$C21</f>
        <v>460302.00009642378</v>
      </c>
      <c r="H80" s="5">
        <f>H51*'Data inputs'!$C21</f>
        <v>460302.00009642378</v>
      </c>
      <c r="I80" s="5">
        <f>I51*'Data inputs'!$C21</f>
        <v>460302.00009642378</v>
      </c>
      <c r="J80" s="5">
        <f>J51*'Data inputs'!$C21</f>
        <v>460302.00009642378</v>
      </c>
      <c r="K80" s="5">
        <f>K51*'Data inputs'!$C21</f>
        <v>460302.00009642378</v>
      </c>
      <c r="L80" s="5">
        <f t="shared" si="23"/>
        <v>460302.00009642367</v>
      </c>
    </row>
    <row r="81" spans="1:12" x14ac:dyDescent="0.25">
      <c r="A81" s="4" t="s">
        <v>37</v>
      </c>
      <c r="B81" s="5">
        <f>B52*'Data inputs'!$C22</f>
        <v>9595433.9016259499</v>
      </c>
      <c r="C81" s="5">
        <f>C52*'Data inputs'!$C22</f>
        <v>9595433.9016259499</v>
      </c>
      <c r="D81" s="5">
        <f>D52*'Data inputs'!$C22</f>
        <v>9595433.9016259499</v>
      </c>
      <c r="E81" s="5">
        <f>E52*'Data inputs'!$C22</f>
        <v>9595433.9016259499</v>
      </c>
      <c r="F81" s="5">
        <f>F52*'Data inputs'!$C22</f>
        <v>9595433.9016259499</v>
      </c>
      <c r="G81" s="5">
        <f>G52*'Data inputs'!$C22</f>
        <v>9595433.9016259499</v>
      </c>
      <c r="H81" s="5">
        <f>H52*'Data inputs'!$C22</f>
        <v>9595433.9016259499</v>
      </c>
      <c r="I81" s="5">
        <f>I52*'Data inputs'!$C22</f>
        <v>9595433.9016259499</v>
      </c>
      <c r="J81" s="5">
        <f>J52*'Data inputs'!$C22</f>
        <v>9595433.9016259499</v>
      </c>
      <c r="K81" s="5">
        <f>K52*'Data inputs'!$C22</f>
        <v>9595433.9016259499</v>
      </c>
      <c r="L81" s="5">
        <f t="shared" si="23"/>
        <v>9595433.901625948</v>
      </c>
    </row>
    <row r="82" spans="1:12" x14ac:dyDescent="0.25">
      <c r="A82" s="4" t="s">
        <v>38</v>
      </c>
      <c r="B82" s="5">
        <f>B53*'Data inputs'!$C23</f>
        <v>0</v>
      </c>
      <c r="C82" s="5">
        <f>C53*'Data inputs'!$C23</f>
        <v>0</v>
      </c>
      <c r="D82" s="5">
        <f>D53*'Data inputs'!$C23</f>
        <v>0</v>
      </c>
      <c r="E82" s="5">
        <f>E53*'Data inputs'!$C23</f>
        <v>0</v>
      </c>
      <c r="F82" s="5">
        <f>F53*'Data inputs'!$C23</f>
        <v>0</v>
      </c>
      <c r="G82" s="5">
        <f>G53*'Data inputs'!$C23</f>
        <v>0</v>
      </c>
      <c r="H82" s="5">
        <f>H53*'Data inputs'!$C23</f>
        <v>0</v>
      </c>
      <c r="I82" s="5">
        <f>I53*'Data inputs'!$C23</f>
        <v>0</v>
      </c>
      <c r="J82" s="5">
        <f>J53*'Data inputs'!$C23</f>
        <v>0</v>
      </c>
      <c r="K82" s="5">
        <f>K53*'Data inputs'!$C23</f>
        <v>0</v>
      </c>
      <c r="L82" s="5">
        <f t="shared" si="23"/>
        <v>0</v>
      </c>
    </row>
    <row r="83" spans="1:12" x14ac:dyDescent="0.25">
      <c r="A83" s="4" t="s">
        <v>15</v>
      </c>
      <c r="B83" s="13">
        <f>B54*'Data inputs'!$C24</f>
        <v>5176180.7715422753</v>
      </c>
      <c r="C83" s="13">
        <f>C54*'Data inputs'!$C24</f>
        <v>5176180.7715422753</v>
      </c>
      <c r="D83" s="13">
        <f>D54*'Data inputs'!$C24</f>
        <v>5176180.7715422753</v>
      </c>
      <c r="E83" s="13">
        <f>E54*'Data inputs'!$C24</f>
        <v>5176180.7715422753</v>
      </c>
      <c r="F83" s="13">
        <f>F54*'Data inputs'!$C24</f>
        <v>5176180.7715422753</v>
      </c>
      <c r="G83" s="13">
        <f>G54*'Data inputs'!$C24</f>
        <v>5176180.7715422753</v>
      </c>
      <c r="H83" s="13">
        <f>H54*'Data inputs'!$C24</f>
        <v>5176180.7715422753</v>
      </c>
      <c r="I83" s="13">
        <f>I54*'Data inputs'!$C24</f>
        <v>5176180.7715422753</v>
      </c>
      <c r="J83" s="13">
        <f>J54*'Data inputs'!$C24</f>
        <v>5176180.7715422753</v>
      </c>
      <c r="K83" s="13">
        <f>K54*'Data inputs'!$C24</f>
        <v>5176180.7715422753</v>
      </c>
      <c r="L83" s="5">
        <f t="shared" si="23"/>
        <v>5176180.7715422744</v>
      </c>
    </row>
    <row r="84" spans="1:12" x14ac:dyDescent="0.25">
      <c r="B84" s="5">
        <f>SUM(B73:B83)</f>
        <v>20245226.485526897</v>
      </c>
      <c r="C84" s="5">
        <f t="shared" ref="C84:K84" si="24">SUM(C73:C83)</f>
        <v>20245226.485526897</v>
      </c>
      <c r="D84" s="5">
        <f t="shared" si="24"/>
        <v>20245226.485526897</v>
      </c>
      <c r="E84" s="5">
        <f t="shared" si="24"/>
        <v>20245226.485526897</v>
      </c>
      <c r="F84" s="5">
        <f t="shared" si="24"/>
        <v>20245226.485526897</v>
      </c>
      <c r="G84" s="5">
        <f t="shared" si="24"/>
        <v>20245226.485526897</v>
      </c>
      <c r="H84" s="5">
        <f t="shared" si="24"/>
        <v>20245226.485526897</v>
      </c>
      <c r="I84" s="5">
        <f t="shared" si="24"/>
        <v>20245226.485526897</v>
      </c>
      <c r="J84" s="5">
        <f t="shared" si="24"/>
        <v>20245226.485526897</v>
      </c>
      <c r="K84" s="5">
        <f t="shared" si="24"/>
        <v>20245226.485526897</v>
      </c>
      <c r="L84" s="5"/>
    </row>
    <row r="86" spans="1:12" ht="30" x14ac:dyDescent="0.25">
      <c r="A86" s="15" t="s">
        <v>58</v>
      </c>
      <c r="B86" s="12" t="str">
        <f>'Summary dashboard'!C4</f>
        <v>2023</v>
      </c>
      <c r="C86" s="49">
        <f t="shared" ref="C86:K86" si="25">B86+1</f>
        <v>2024</v>
      </c>
      <c r="D86" s="49">
        <f t="shared" si="25"/>
        <v>2025</v>
      </c>
      <c r="E86" s="49">
        <f t="shared" si="25"/>
        <v>2026</v>
      </c>
      <c r="F86" s="49">
        <f t="shared" si="25"/>
        <v>2027</v>
      </c>
      <c r="G86" s="49">
        <f t="shared" si="25"/>
        <v>2028</v>
      </c>
      <c r="H86" s="49">
        <f t="shared" si="25"/>
        <v>2029</v>
      </c>
      <c r="I86" s="49">
        <f t="shared" si="25"/>
        <v>2030</v>
      </c>
      <c r="J86" s="49">
        <f t="shared" si="25"/>
        <v>2031</v>
      </c>
      <c r="K86" s="49">
        <f t="shared" si="25"/>
        <v>2032</v>
      </c>
      <c r="L86" s="1" t="s">
        <v>28</v>
      </c>
    </row>
    <row r="87" spans="1:12" x14ac:dyDescent="0.25">
      <c r="A87" s="4" t="s">
        <v>35</v>
      </c>
      <c r="B87" s="5">
        <f>(B73+B58)/2</f>
        <v>4930346.9976699119</v>
      </c>
      <c r="C87" s="5">
        <f t="shared" ref="C87:K87" si="26">(C73+C58)/2</f>
        <v>4930346.9976699119</v>
      </c>
      <c r="D87" s="5">
        <f t="shared" si="26"/>
        <v>4930346.9976699119</v>
      </c>
      <c r="E87" s="5">
        <f t="shared" si="26"/>
        <v>4930346.9976699119</v>
      </c>
      <c r="F87" s="5">
        <f t="shared" si="26"/>
        <v>4930346.9976699119</v>
      </c>
      <c r="G87" s="5">
        <f t="shared" si="26"/>
        <v>4930346.9976699119</v>
      </c>
      <c r="H87" s="5">
        <f t="shared" si="26"/>
        <v>4930346.9976699119</v>
      </c>
      <c r="I87" s="5">
        <f t="shared" si="26"/>
        <v>4930346.9976699119</v>
      </c>
      <c r="J87" s="5">
        <f t="shared" si="26"/>
        <v>4930346.9976699119</v>
      </c>
      <c r="K87" s="5">
        <f t="shared" si="26"/>
        <v>4930346.9976699119</v>
      </c>
      <c r="L87" s="5">
        <f t="shared" ref="L87:L97" si="27">AVERAGE(B87:K87)</f>
        <v>4930346.9976699119</v>
      </c>
    </row>
    <row r="88" spans="1:12" x14ac:dyDescent="0.25">
      <c r="A88" s="4" t="s">
        <v>36</v>
      </c>
      <c r="B88" s="5">
        <f t="shared" ref="B88:K97" si="28">(B74+B59)/2</f>
        <v>806786.40689855628</v>
      </c>
      <c r="C88" s="5">
        <f t="shared" si="28"/>
        <v>806786.40689855628</v>
      </c>
      <c r="D88" s="5">
        <f t="shared" si="28"/>
        <v>806786.40689855628</v>
      </c>
      <c r="E88" s="5">
        <f t="shared" si="28"/>
        <v>806786.40689855628</v>
      </c>
      <c r="F88" s="5">
        <f t="shared" si="28"/>
        <v>806786.40689855628</v>
      </c>
      <c r="G88" s="5">
        <f t="shared" si="28"/>
        <v>806786.40689855628</v>
      </c>
      <c r="H88" s="5">
        <f t="shared" si="28"/>
        <v>806786.40689855628</v>
      </c>
      <c r="I88" s="5">
        <f t="shared" si="28"/>
        <v>806786.40689855628</v>
      </c>
      <c r="J88" s="5">
        <f t="shared" si="28"/>
        <v>806786.40689855628</v>
      </c>
      <c r="K88" s="5">
        <f t="shared" si="28"/>
        <v>806786.40689855628</v>
      </c>
      <c r="L88" s="5">
        <f t="shared" si="27"/>
        <v>806786.40689855628</v>
      </c>
    </row>
    <row r="89" spans="1:12" x14ac:dyDescent="0.25">
      <c r="A89" s="4" t="s">
        <v>11</v>
      </c>
      <c r="B89" s="5">
        <f t="shared" si="28"/>
        <v>0</v>
      </c>
      <c r="C89" s="5">
        <f t="shared" si="28"/>
        <v>0</v>
      </c>
      <c r="D89" s="5">
        <f t="shared" si="28"/>
        <v>0</v>
      </c>
      <c r="E89" s="5">
        <f t="shared" si="28"/>
        <v>0</v>
      </c>
      <c r="F89" s="5">
        <f t="shared" si="28"/>
        <v>0</v>
      </c>
      <c r="G89" s="5">
        <f t="shared" si="28"/>
        <v>0</v>
      </c>
      <c r="H89" s="5">
        <f t="shared" si="28"/>
        <v>0</v>
      </c>
      <c r="I89" s="5">
        <f t="shared" si="28"/>
        <v>0</v>
      </c>
      <c r="J89" s="5">
        <f t="shared" si="28"/>
        <v>0</v>
      </c>
      <c r="K89" s="5">
        <f t="shared" si="28"/>
        <v>0</v>
      </c>
      <c r="L89" s="5">
        <f t="shared" si="27"/>
        <v>0</v>
      </c>
    </row>
    <row r="90" spans="1:12" x14ac:dyDescent="0.25">
      <c r="A90" s="4" t="s">
        <v>124</v>
      </c>
      <c r="B90" s="5">
        <f t="shared" si="28"/>
        <v>484682.68025618873</v>
      </c>
      <c r="C90" s="5">
        <f t="shared" si="28"/>
        <v>484682.68025618873</v>
      </c>
      <c r="D90" s="5">
        <f t="shared" si="28"/>
        <v>484682.68025618873</v>
      </c>
      <c r="E90" s="5">
        <f t="shared" si="28"/>
        <v>484682.68025618873</v>
      </c>
      <c r="F90" s="5">
        <f t="shared" si="28"/>
        <v>484682.68025618873</v>
      </c>
      <c r="G90" s="5">
        <f t="shared" si="28"/>
        <v>484682.68025618873</v>
      </c>
      <c r="H90" s="5">
        <f t="shared" si="28"/>
        <v>484682.68025618873</v>
      </c>
      <c r="I90" s="5">
        <f t="shared" si="28"/>
        <v>484682.68025618873</v>
      </c>
      <c r="J90" s="5">
        <f t="shared" si="28"/>
        <v>484682.68025618873</v>
      </c>
      <c r="K90" s="5">
        <f t="shared" si="28"/>
        <v>484682.68025618873</v>
      </c>
      <c r="L90" s="5">
        <f t="shared" si="27"/>
        <v>484682.68025618873</v>
      </c>
    </row>
    <row r="91" spans="1:12" x14ac:dyDescent="0.25">
      <c r="A91" s="4" t="s">
        <v>12</v>
      </c>
      <c r="B91" s="5">
        <f t="shared" si="28"/>
        <v>1159857.4511018982</v>
      </c>
      <c r="C91" s="5">
        <f t="shared" si="28"/>
        <v>1159857.4511018982</v>
      </c>
      <c r="D91" s="5">
        <f t="shared" si="28"/>
        <v>1159857.4511018982</v>
      </c>
      <c r="E91" s="5">
        <f t="shared" si="28"/>
        <v>1159857.4511018982</v>
      </c>
      <c r="F91" s="5">
        <f t="shared" si="28"/>
        <v>1159857.4511018982</v>
      </c>
      <c r="G91" s="5">
        <f t="shared" si="28"/>
        <v>1159857.4511018982</v>
      </c>
      <c r="H91" s="5">
        <f t="shared" si="28"/>
        <v>1159857.4511018982</v>
      </c>
      <c r="I91" s="5">
        <f t="shared" si="28"/>
        <v>1159857.4511018982</v>
      </c>
      <c r="J91" s="5">
        <f t="shared" si="28"/>
        <v>1159857.4511018982</v>
      </c>
      <c r="K91" s="5">
        <f t="shared" si="28"/>
        <v>1159857.4511018982</v>
      </c>
      <c r="L91" s="5">
        <f t="shared" si="27"/>
        <v>1159857.4511018984</v>
      </c>
    </row>
    <row r="92" spans="1:12" x14ac:dyDescent="0.25">
      <c r="A92" s="4" t="s">
        <v>13</v>
      </c>
      <c r="B92" s="5">
        <f t="shared" si="28"/>
        <v>0</v>
      </c>
      <c r="C92" s="5">
        <f t="shared" si="28"/>
        <v>0</v>
      </c>
      <c r="D92" s="5">
        <f t="shared" si="28"/>
        <v>0</v>
      </c>
      <c r="E92" s="5">
        <f t="shared" si="28"/>
        <v>0</v>
      </c>
      <c r="F92" s="5">
        <f t="shared" si="28"/>
        <v>0</v>
      </c>
      <c r="G92" s="5">
        <f t="shared" si="28"/>
        <v>0</v>
      </c>
      <c r="H92" s="5">
        <f t="shared" si="28"/>
        <v>0</v>
      </c>
      <c r="I92" s="5">
        <f t="shared" si="28"/>
        <v>0</v>
      </c>
      <c r="J92" s="5">
        <f t="shared" si="28"/>
        <v>0</v>
      </c>
      <c r="K92" s="5">
        <f t="shared" si="28"/>
        <v>0</v>
      </c>
      <c r="L92" s="5">
        <f t="shared" si="27"/>
        <v>0</v>
      </c>
    </row>
    <row r="93" spans="1:12" x14ac:dyDescent="0.25">
      <c r="A93" s="4" t="s">
        <v>14</v>
      </c>
      <c r="B93" s="5">
        <f t="shared" si="28"/>
        <v>0</v>
      </c>
      <c r="C93" s="5">
        <f t="shared" si="28"/>
        <v>0</v>
      </c>
      <c r="D93" s="5">
        <f t="shared" si="28"/>
        <v>0</v>
      </c>
      <c r="E93" s="5">
        <f t="shared" si="28"/>
        <v>0</v>
      </c>
      <c r="F93" s="5">
        <f t="shared" si="28"/>
        <v>0</v>
      </c>
      <c r="G93" s="5">
        <f t="shared" si="28"/>
        <v>0</v>
      </c>
      <c r="H93" s="5">
        <f t="shared" si="28"/>
        <v>0</v>
      </c>
      <c r="I93" s="5">
        <f t="shared" si="28"/>
        <v>0</v>
      </c>
      <c r="J93" s="5">
        <f t="shared" si="28"/>
        <v>0</v>
      </c>
      <c r="K93" s="5">
        <f t="shared" si="28"/>
        <v>0</v>
      </c>
      <c r="L93" s="5">
        <f t="shared" si="27"/>
        <v>0</v>
      </c>
    </row>
    <row r="94" spans="1:12" x14ac:dyDescent="0.25">
      <c r="A94" s="4" t="s">
        <v>125</v>
      </c>
      <c r="B94" s="5">
        <f t="shared" si="28"/>
        <v>537019.00011249445</v>
      </c>
      <c r="C94" s="5">
        <f t="shared" si="28"/>
        <v>537019.00011249445</v>
      </c>
      <c r="D94" s="5">
        <f t="shared" si="28"/>
        <v>537019.00011249445</v>
      </c>
      <c r="E94" s="5">
        <f t="shared" si="28"/>
        <v>537019.00011249445</v>
      </c>
      <c r="F94" s="5">
        <f t="shared" si="28"/>
        <v>537019.00011249445</v>
      </c>
      <c r="G94" s="5">
        <f t="shared" si="28"/>
        <v>537019.00011249445</v>
      </c>
      <c r="H94" s="5">
        <f t="shared" si="28"/>
        <v>537019.00011249445</v>
      </c>
      <c r="I94" s="5">
        <f t="shared" si="28"/>
        <v>537019.00011249445</v>
      </c>
      <c r="J94" s="5">
        <f t="shared" si="28"/>
        <v>537019.00011249445</v>
      </c>
      <c r="K94" s="5">
        <f t="shared" si="28"/>
        <v>537019.00011249445</v>
      </c>
      <c r="L94" s="5">
        <f t="shared" si="27"/>
        <v>537019.00011249445</v>
      </c>
    </row>
    <row r="95" spans="1:12" x14ac:dyDescent="0.25">
      <c r="A95" s="4" t="s">
        <v>37</v>
      </c>
      <c r="B95" s="5">
        <f t="shared" si="28"/>
        <v>11826930.157818031</v>
      </c>
      <c r="C95" s="5">
        <f t="shared" si="28"/>
        <v>11826930.157818031</v>
      </c>
      <c r="D95" s="5">
        <f t="shared" si="28"/>
        <v>11826930.157818031</v>
      </c>
      <c r="E95" s="5">
        <f t="shared" si="28"/>
        <v>11826930.157818031</v>
      </c>
      <c r="F95" s="5">
        <f t="shared" si="28"/>
        <v>11826930.157818031</v>
      </c>
      <c r="G95" s="5">
        <f t="shared" si="28"/>
        <v>11826930.157818031</v>
      </c>
      <c r="H95" s="5">
        <f t="shared" si="28"/>
        <v>11826930.157818031</v>
      </c>
      <c r="I95" s="5">
        <f t="shared" si="28"/>
        <v>11826930.157818031</v>
      </c>
      <c r="J95" s="5">
        <f t="shared" si="28"/>
        <v>11826930.157818031</v>
      </c>
      <c r="K95" s="5">
        <f t="shared" si="28"/>
        <v>11826930.157818031</v>
      </c>
      <c r="L95" s="5">
        <f t="shared" si="27"/>
        <v>11826930.157818032</v>
      </c>
    </row>
    <row r="96" spans="1:12" x14ac:dyDescent="0.25">
      <c r="A96" s="4" t="s">
        <v>38</v>
      </c>
      <c r="B96" s="5">
        <f t="shared" si="28"/>
        <v>149568.63031097015</v>
      </c>
      <c r="C96" s="5">
        <f t="shared" si="28"/>
        <v>149568.63031097015</v>
      </c>
      <c r="D96" s="5">
        <f t="shared" si="28"/>
        <v>149568.63031097015</v>
      </c>
      <c r="E96" s="5">
        <f t="shared" si="28"/>
        <v>149568.63031097015</v>
      </c>
      <c r="F96" s="5">
        <f t="shared" si="28"/>
        <v>149568.63031097015</v>
      </c>
      <c r="G96" s="5">
        <f t="shared" si="28"/>
        <v>149568.63031097015</v>
      </c>
      <c r="H96" s="5">
        <f t="shared" si="28"/>
        <v>149568.63031097015</v>
      </c>
      <c r="I96" s="5">
        <f t="shared" si="28"/>
        <v>149568.63031097015</v>
      </c>
      <c r="J96" s="5">
        <f t="shared" si="28"/>
        <v>149568.63031097015</v>
      </c>
      <c r="K96" s="5">
        <f t="shared" si="28"/>
        <v>149568.63031097015</v>
      </c>
      <c r="L96" s="5">
        <f t="shared" si="27"/>
        <v>149568.63031097015</v>
      </c>
    </row>
    <row r="97" spans="1:12" x14ac:dyDescent="0.25">
      <c r="A97" s="4" t="s">
        <v>15</v>
      </c>
      <c r="B97" s="13">
        <f t="shared" si="28"/>
        <v>7764271.1573134139</v>
      </c>
      <c r="C97" s="13">
        <f t="shared" si="28"/>
        <v>7764271.1573134139</v>
      </c>
      <c r="D97" s="13">
        <f t="shared" si="28"/>
        <v>7764271.1573134139</v>
      </c>
      <c r="E97" s="13">
        <f t="shared" si="28"/>
        <v>7764271.1573134139</v>
      </c>
      <c r="F97" s="13">
        <f t="shared" si="28"/>
        <v>7764271.1573134139</v>
      </c>
      <c r="G97" s="13">
        <f t="shared" si="28"/>
        <v>7764271.1573134139</v>
      </c>
      <c r="H97" s="13">
        <f t="shared" si="28"/>
        <v>7764271.1573134139</v>
      </c>
      <c r="I97" s="13">
        <f t="shared" si="28"/>
        <v>7764271.1573134139</v>
      </c>
      <c r="J97" s="13">
        <f t="shared" si="28"/>
        <v>7764271.1573134139</v>
      </c>
      <c r="K97" s="13">
        <f t="shared" si="28"/>
        <v>7764271.1573134139</v>
      </c>
      <c r="L97" s="5">
        <f t="shared" si="27"/>
        <v>7764271.1573134121</v>
      </c>
    </row>
    <row r="98" spans="1:12" x14ac:dyDescent="0.25">
      <c r="B98" s="5">
        <f t="shared" ref="B98:K98" si="29">SUM(B87:B97)</f>
        <v>27659462.481481466</v>
      </c>
      <c r="C98" s="5">
        <f t="shared" si="29"/>
        <v>27659462.481481466</v>
      </c>
      <c r="D98" s="5">
        <f t="shared" si="29"/>
        <v>27659462.481481466</v>
      </c>
      <c r="E98" s="5">
        <f t="shared" si="29"/>
        <v>27659462.481481466</v>
      </c>
      <c r="F98" s="5">
        <f t="shared" si="29"/>
        <v>27659462.481481466</v>
      </c>
      <c r="G98" s="5">
        <f t="shared" si="29"/>
        <v>27659462.481481466</v>
      </c>
      <c r="H98" s="5">
        <f t="shared" si="29"/>
        <v>27659462.481481466</v>
      </c>
      <c r="I98" s="5">
        <f t="shared" si="29"/>
        <v>27659462.481481466</v>
      </c>
      <c r="J98" s="5">
        <f t="shared" si="29"/>
        <v>27659462.481481466</v>
      </c>
      <c r="K98" s="5">
        <f t="shared" si="29"/>
        <v>27659462.481481466</v>
      </c>
      <c r="L98" s="5"/>
    </row>
    <row r="100" spans="1:12" x14ac:dyDescent="0.25">
      <c r="A100" s="21" t="s">
        <v>52</v>
      </c>
      <c r="B100" s="21" t="str">
        <f>'Summary dashboard'!C4</f>
        <v>2023</v>
      </c>
      <c r="C100" s="21">
        <f>B100+1</f>
        <v>2024</v>
      </c>
      <c r="D100" s="21">
        <f t="shared" ref="D100:K100" si="30">C100+1</f>
        <v>2025</v>
      </c>
      <c r="E100" s="21">
        <f t="shared" si="30"/>
        <v>2026</v>
      </c>
      <c r="F100" s="21">
        <f t="shared" si="30"/>
        <v>2027</v>
      </c>
      <c r="G100" s="21">
        <f t="shared" si="30"/>
        <v>2028</v>
      </c>
      <c r="H100" s="21">
        <f t="shared" si="30"/>
        <v>2029</v>
      </c>
      <c r="I100" s="21">
        <f t="shared" si="30"/>
        <v>2030</v>
      </c>
      <c r="J100" s="21">
        <f t="shared" si="30"/>
        <v>2031</v>
      </c>
      <c r="K100" s="21">
        <f t="shared" si="30"/>
        <v>2032</v>
      </c>
    </row>
    <row r="101" spans="1:12" x14ac:dyDescent="0.25">
      <c r="A101" t="s">
        <v>73</v>
      </c>
      <c r="B101" s="16">
        <f>SUM(B87:B97)/SUM(B44:B54)</f>
        <v>0.31706251613345782</v>
      </c>
      <c r="C101" s="16">
        <f t="shared" ref="C101:K101" si="31">SUM(C87:C97)/SUM(C44:C54)</f>
        <v>0.31706251613345782</v>
      </c>
      <c r="D101" s="16">
        <f t="shared" si="31"/>
        <v>0.31706251613345782</v>
      </c>
      <c r="E101" s="16">
        <f t="shared" si="31"/>
        <v>0.31706251613345782</v>
      </c>
      <c r="F101" s="16">
        <f t="shared" si="31"/>
        <v>0.31706251613345782</v>
      </c>
      <c r="G101" s="16">
        <f t="shared" si="31"/>
        <v>0.31706251613345782</v>
      </c>
      <c r="H101" s="16">
        <f t="shared" si="31"/>
        <v>0.31706251613345782</v>
      </c>
      <c r="I101" s="16">
        <f t="shared" si="31"/>
        <v>0.31706251613345782</v>
      </c>
      <c r="J101" s="16">
        <f t="shared" si="31"/>
        <v>0.31706251613345782</v>
      </c>
      <c r="K101" s="16">
        <f t="shared" si="31"/>
        <v>0.31706251613345782</v>
      </c>
    </row>
    <row r="102" spans="1:12" x14ac:dyDescent="0.25">
      <c r="A102" t="s">
        <v>70</v>
      </c>
      <c r="B102" s="16">
        <f>SUM(B84:K84)/SUM($B$55:$K$55)</f>
        <v>0.2320725666122587</v>
      </c>
    </row>
    <row r="103" spans="1:12" x14ac:dyDescent="0.25">
      <c r="A103" t="s">
        <v>71</v>
      </c>
      <c r="B103" s="16">
        <f>SUM(B98:K98)/SUM($B$55:$K$55)</f>
        <v>0.31706251613345782</v>
      </c>
    </row>
    <row r="104" spans="1:12" x14ac:dyDescent="0.25">
      <c r="A104" t="s">
        <v>72</v>
      </c>
      <c r="B104" s="16">
        <f>SUM(B69:K69)/SUM($B$55:$K$55)</f>
        <v>0.40205246565465674</v>
      </c>
    </row>
  </sheetData>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912AC6EA-E46B-451A-87EB-84ECEC6B00EB}">
          <x14:formula1>
            <xm:f>Lists!$C$2:$C$7</xm:f>
          </x14:formula1>
          <xm:sqref>A1</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4DA4D3-0129-4ADE-A2AD-47794B0FFE76}">
  <dimension ref="A1:N104"/>
  <sheetViews>
    <sheetView workbookViewId="0">
      <selection activeCell="A14" sqref="A14"/>
    </sheetView>
  </sheetViews>
  <sheetFormatPr defaultRowHeight="15" x14ac:dyDescent="0.25"/>
  <cols>
    <col min="1" max="1" width="34" customWidth="1"/>
    <col min="2" max="2" width="15.140625" customWidth="1"/>
    <col min="3" max="3" width="12.5703125" customWidth="1"/>
    <col min="4" max="4" width="13.85546875" customWidth="1"/>
    <col min="5" max="13" width="12.5703125" customWidth="1"/>
    <col min="14" max="14" width="12.140625" bestFit="1" customWidth="1"/>
  </cols>
  <sheetData>
    <row r="1" spans="1:11" s="3" customFormat="1" x14ac:dyDescent="0.25">
      <c r="A1" s="2" t="s">
        <v>50</v>
      </c>
    </row>
    <row r="2" spans="1:11" x14ac:dyDescent="0.25">
      <c r="A2" t="s">
        <v>19</v>
      </c>
      <c r="B2" s="12" t="str">
        <f>'Summary dashboard'!C4</f>
        <v>2023</v>
      </c>
      <c r="C2" s="12">
        <f>B2+1</f>
        <v>2024</v>
      </c>
      <c r="D2" s="12">
        <f t="shared" ref="D2:K2" si="0">C2+1</f>
        <v>2025</v>
      </c>
      <c r="E2" s="12">
        <f t="shared" si="0"/>
        <v>2026</v>
      </c>
      <c r="F2" s="12">
        <f t="shared" si="0"/>
        <v>2027</v>
      </c>
      <c r="G2" s="12">
        <f t="shared" si="0"/>
        <v>2028</v>
      </c>
      <c r="H2" s="12">
        <f t="shared" si="0"/>
        <v>2029</v>
      </c>
      <c r="I2" s="12">
        <f t="shared" si="0"/>
        <v>2030</v>
      </c>
      <c r="J2" s="12">
        <f t="shared" si="0"/>
        <v>2031</v>
      </c>
      <c r="K2" s="12">
        <f t="shared" si="0"/>
        <v>2032</v>
      </c>
    </row>
    <row r="3" spans="1:11" x14ac:dyDescent="0.25">
      <c r="A3" s="4" t="s">
        <v>35</v>
      </c>
      <c r="B3">
        <f>INDEX('CMA function inputs'!$B$17:$L$22,MATCH($A$1,'CMA function inputs'!$A$17:$A$22,0),MATCH(A3,'CMA function inputs'!$B$16:$L$16,0))</f>
        <v>1</v>
      </c>
      <c r="C3">
        <f>IF($B3=1,1,IF(INDEX('CMA function inputs'!$B$25:$L$30,MATCH('Mkuze-Mtamvuna CMA'!$A$1,'CMA function inputs'!$A$25:$A$30,0),MATCH('Mkuze-Mtamvuna CMA'!$A3,'CMA function inputs'!$B$24:$L$24,0))&lt;=C$2,1,0))</f>
        <v>1</v>
      </c>
      <c r="D3">
        <f>IF($B3=1,1,IF(INDEX('CMA function inputs'!$B$25:$L$30,MATCH('Mkuze-Mtamvuna CMA'!$A$1,'CMA function inputs'!$A$25:$A$30,0),MATCH('Mkuze-Mtamvuna CMA'!$A3,'CMA function inputs'!$B$24:$L$24,0))&lt;=D$2,1,0))</f>
        <v>1</v>
      </c>
      <c r="E3">
        <f>IF($B3=1,1,IF(INDEX('CMA function inputs'!$B$25:$L$30,MATCH('Mkuze-Mtamvuna CMA'!$A$1,'CMA function inputs'!$A$25:$A$30,0),MATCH('Mkuze-Mtamvuna CMA'!$A3,'CMA function inputs'!$B$24:$L$24,0))&lt;=E$2,1,0))</f>
        <v>1</v>
      </c>
      <c r="F3">
        <f>IF($B3=1,1,IF(INDEX('CMA function inputs'!$B$25:$L$30,MATCH('Mkuze-Mtamvuna CMA'!$A$1,'CMA function inputs'!$A$25:$A$30,0),MATCH('Mkuze-Mtamvuna CMA'!$A3,'CMA function inputs'!$B$24:$L$24,0))&lt;=F$2,1,0))</f>
        <v>1</v>
      </c>
      <c r="G3">
        <f>IF($B3=1,1,IF(INDEX('CMA function inputs'!$B$25:$L$30,MATCH('Mkuze-Mtamvuna CMA'!$A$1,'CMA function inputs'!$A$25:$A$30,0),MATCH('Mkuze-Mtamvuna CMA'!$A3,'CMA function inputs'!$B$24:$L$24,0))&lt;=G$2,1,0))</f>
        <v>1</v>
      </c>
      <c r="H3">
        <f>IF($B3=1,1,IF(INDEX('CMA function inputs'!$B$25:$L$30,MATCH('Mkuze-Mtamvuna CMA'!$A$1,'CMA function inputs'!$A$25:$A$30,0),MATCH('Mkuze-Mtamvuna CMA'!$A3,'CMA function inputs'!$B$24:$L$24,0))&lt;=H$2,1,0))</f>
        <v>1</v>
      </c>
      <c r="I3">
        <f>IF($B3=1,1,IF(INDEX('CMA function inputs'!$B$25:$L$30,MATCH('Mkuze-Mtamvuna CMA'!$A$1,'CMA function inputs'!$A$25:$A$30,0),MATCH('Mkuze-Mtamvuna CMA'!$A3,'CMA function inputs'!$B$24:$L$24,0))&lt;=I$2,1,0))</f>
        <v>1</v>
      </c>
      <c r="J3">
        <f>IF($B3=1,1,IF(INDEX('CMA function inputs'!$B$25:$L$30,MATCH('Mkuze-Mtamvuna CMA'!$A$1,'CMA function inputs'!$A$25:$A$30,0),MATCH('Mkuze-Mtamvuna CMA'!$A3,'CMA function inputs'!$B$24:$L$24,0))&lt;=J$2,1,0))</f>
        <v>1</v>
      </c>
      <c r="K3">
        <f>IF($B3=1,1,IF(INDEX('CMA function inputs'!$B$25:$L$30,MATCH('Mkuze-Mtamvuna CMA'!$A$1,'CMA function inputs'!$A$25:$A$30,0),MATCH('Mkuze-Mtamvuna CMA'!$A3,'CMA function inputs'!$B$24:$L$24,0))&lt;=K$2,1,0))</f>
        <v>1</v>
      </c>
    </row>
    <row r="4" spans="1:11" x14ac:dyDescent="0.25">
      <c r="A4" s="4" t="s">
        <v>36</v>
      </c>
      <c r="B4">
        <f>INDEX('CMA function inputs'!$B$17:$L$22,MATCH($A$1,'CMA function inputs'!$A$17:$A$22,0),MATCH(A4,'CMA function inputs'!$B$16:$L$16,0))</f>
        <v>1</v>
      </c>
      <c r="C4">
        <f>IF($B4=1,1,IF(INDEX('CMA function inputs'!$B$25:$L$30,MATCH('Mkuze-Mtamvuna CMA'!$A$1,'CMA function inputs'!$A$25:$A$30,0),MATCH('Mkuze-Mtamvuna CMA'!$A4,'CMA function inputs'!$B$24:$L$24,0))&lt;=C$2,1,0))</f>
        <v>1</v>
      </c>
      <c r="D4">
        <f>IF($B4=1,1,IF(INDEX('CMA function inputs'!$B$25:$L$30,MATCH('Mkuze-Mtamvuna CMA'!$A$1,'CMA function inputs'!$A$25:$A$30,0),MATCH('Mkuze-Mtamvuna CMA'!$A4,'CMA function inputs'!$B$24:$L$24,0))&lt;=D$2,1,0))</f>
        <v>1</v>
      </c>
      <c r="E4">
        <f>IF($B4=1,1,IF(INDEX('CMA function inputs'!$B$25:$L$30,MATCH('Mkuze-Mtamvuna CMA'!$A$1,'CMA function inputs'!$A$25:$A$30,0),MATCH('Mkuze-Mtamvuna CMA'!$A4,'CMA function inputs'!$B$24:$L$24,0))&lt;=E$2,1,0))</f>
        <v>1</v>
      </c>
      <c r="F4">
        <f>IF($B4=1,1,IF(INDEX('CMA function inputs'!$B$25:$L$30,MATCH('Mkuze-Mtamvuna CMA'!$A$1,'CMA function inputs'!$A$25:$A$30,0),MATCH('Mkuze-Mtamvuna CMA'!$A4,'CMA function inputs'!$B$24:$L$24,0))&lt;=F$2,1,0))</f>
        <v>1</v>
      </c>
      <c r="G4">
        <f>IF($B4=1,1,IF(INDEX('CMA function inputs'!$B$25:$L$30,MATCH('Mkuze-Mtamvuna CMA'!$A$1,'CMA function inputs'!$A$25:$A$30,0),MATCH('Mkuze-Mtamvuna CMA'!$A4,'CMA function inputs'!$B$24:$L$24,0))&lt;=G$2,1,0))</f>
        <v>1</v>
      </c>
      <c r="H4">
        <f>IF($B4=1,1,IF(INDEX('CMA function inputs'!$B$25:$L$30,MATCH('Mkuze-Mtamvuna CMA'!$A$1,'CMA function inputs'!$A$25:$A$30,0),MATCH('Mkuze-Mtamvuna CMA'!$A4,'CMA function inputs'!$B$24:$L$24,0))&lt;=H$2,1,0))</f>
        <v>1</v>
      </c>
      <c r="I4">
        <f>IF($B4=1,1,IF(INDEX('CMA function inputs'!$B$25:$L$30,MATCH('Mkuze-Mtamvuna CMA'!$A$1,'CMA function inputs'!$A$25:$A$30,0),MATCH('Mkuze-Mtamvuna CMA'!$A4,'CMA function inputs'!$B$24:$L$24,0))&lt;=I$2,1,0))</f>
        <v>1</v>
      </c>
      <c r="J4">
        <f>IF($B4=1,1,IF(INDEX('CMA function inputs'!$B$25:$L$30,MATCH('Mkuze-Mtamvuna CMA'!$A$1,'CMA function inputs'!$A$25:$A$30,0),MATCH('Mkuze-Mtamvuna CMA'!$A4,'CMA function inputs'!$B$24:$L$24,0))&lt;=J$2,1,0))</f>
        <v>1</v>
      </c>
      <c r="K4">
        <f>IF($B4=1,1,IF(INDEX('CMA function inputs'!$B$25:$L$30,MATCH('Mkuze-Mtamvuna CMA'!$A$1,'CMA function inputs'!$A$25:$A$30,0),MATCH('Mkuze-Mtamvuna CMA'!$A4,'CMA function inputs'!$B$24:$L$24,0))&lt;=K$2,1,0))</f>
        <v>1</v>
      </c>
    </row>
    <row r="5" spans="1:11" x14ac:dyDescent="0.25">
      <c r="A5" s="4" t="s">
        <v>11</v>
      </c>
      <c r="B5">
        <f>INDEX('CMA function inputs'!$B$17:$L$22,MATCH($A$1,'CMA function inputs'!$A$17:$A$22,0),MATCH(A5,'CMA function inputs'!$B$16:$L$16,0))</f>
        <v>1</v>
      </c>
      <c r="C5">
        <f>IF($B5=1,1,IF(INDEX('CMA function inputs'!$B$25:$L$30,MATCH('Mkuze-Mtamvuna CMA'!$A$1,'CMA function inputs'!$A$25:$A$30,0),MATCH('Mkuze-Mtamvuna CMA'!$A5,'CMA function inputs'!$B$24:$L$24,0))&lt;=C$2,1,0))</f>
        <v>1</v>
      </c>
      <c r="D5">
        <f>IF($B5=1,1,IF(INDEX('CMA function inputs'!$B$25:$L$30,MATCH('Mkuze-Mtamvuna CMA'!$A$1,'CMA function inputs'!$A$25:$A$30,0),MATCH('Mkuze-Mtamvuna CMA'!$A5,'CMA function inputs'!$B$24:$L$24,0))&lt;=D$2,1,0))</f>
        <v>1</v>
      </c>
      <c r="E5">
        <f>IF($B5=1,1,IF(INDEX('CMA function inputs'!$B$25:$L$30,MATCH('Mkuze-Mtamvuna CMA'!$A$1,'CMA function inputs'!$A$25:$A$30,0),MATCH('Mkuze-Mtamvuna CMA'!$A5,'CMA function inputs'!$B$24:$L$24,0))&lt;=E$2,1,0))</f>
        <v>1</v>
      </c>
      <c r="F5">
        <f>IF($B5=1,1,IF(INDEX('CMA function inputs'!$B$25:$L$30,MATCH('Mkuze-Mtamvuna CMA'!$A$1,'CMA function inputs'!$A$25:$A$30,0),MATCH('Mkuze-Mtamvuna CMA'!$A5,'CMA function inputs'!$B$24:$L$24,0))&lt;=F$2,1,0))</f>
        <v>1</v>
      </c>
      <c r="G5">
        <f>IF($B5=1,1,IF(INDEX('CMA function inputs'!$B$25:$L$30,MATCH('Mkuze-Mtamvuna CMA'!$A$1,'CMA function inputs'!$A$25:$A$30,0),MATCH('Mkuze-Mtamvuna CMA'!$A5,'CMA function inputs'!$B$24:$L$24,0))&lt;=G$2,1,0))</f>
        <v>1</v>
      </c>
      <c r="H5">
        <f>IF($B5=1,1,IF(INDEX('CMA function inputs'!$B$25:$L$30,MATCH('Mkuze-Mtamvuna CMA'!$A$1,'CMA function inputs'!$A$25:$A$30,0),MATCH('Mkuze-Mtamvuna CMA'!$A5,'CMA function inputs'!$B$24:$L$24,0))&lt;=H$2,1,0))</f>
        <v>1</v>
      </c>
      <c r="I5">
        <f>IF($B5=1,1,IF(INDEX('CMA function inputs'!$B$25:$L$30,MATCH('Mkuze-Mtamvuna CMA'!$A$1,'CMA function inputs'!$A$25:$A$30,0),MATCH('Mkuze-Mtamvuna CMA'!$A5,'CMA function inputs'!$B$24:$L$24,0))&lt;=I$2,1,0))</f>
        <v>1</v>
      </c>
      <c r="J5">
        <f>IF($B5=1,1,IF(INDEX('CMA function inputs'!$B$25:$L$30,MATCH('Mkuze-Mtamvuna CMA'!$A$1,'CMA function inputs'!$A$25:$A$30,0),MATCH('Mkuze-Mtamvuna CMA'!$A5,'CMA function inputs'!$B$24:$L$24,0))&lt;=J$2,1,0))</f>
        <v>1</v>
      </c>
      <c r="K5">
        <f>IF($B5=1,1,IF(INDEX('CMA function inputs'!$B$25:$L$30,MATCH('Mkuze-Mtamvuna CMA'!$A$1,'CMA function inputs'!$A$25:$A$30,0),MATCH('Mkuze-Mtamvuna CMA'!$A5,'CMA function inputs'!$B$24:$L$24,0))&lt;=K$2,1,0))</f>
        <v>1</v>
      </c>
    </row>
    <row r="6" spans="1:11" x14ac:dyDescent="0.25">
      <c r="A6" s="4" t="s">
        <v>124</v>
      </c>
      <c r="B6">
        <f>INDEX('CMA function inputs'!$B$17:$L$22,MATCH($A$1,'CMA function inputs'!$A$17:$A$22,0),MATCH(A6,'CMA function inputs'!$B$16:$L$16,0))</f>
        <v>1</v>
      </c>
      <c r="C6">
        <f>IF($B6=1,1,IF(INDEX('CMA function inputs'!$B$25:$L$30,MATCH('Mkuze-Mtamvuna CMA'!$A$1,'CMA function inputs'!$A$25:$A$30,0),MATCH('Mkuze-Mtamvuna CMA'!$A6,'CMA function inputs'!$B$24:$L$24,0))&lt;=C$2,1,0))</f>
        <v>1</v>
      </c>
      <c r="D6">
        <f>IF($B6=1,1,IF(INDEX('CMA function inputs'!$B$25:$L$30,MATCH('Mkuze-Mtamvuna CMA'!$A$1,'CMA function inputs'!$A$25:$A$30,0),MATCH('Mkuze-Mtamvuna CMA'!$A6,'CMA function inputs'!$B$24:$L$24,0))&lt;=D$2,1,0))</f>
        <v>1</v>
      </c>
      <c r="E6">
        <f>IF($B6=1,1,IF(INDEX('CMA function inputs'!$B$25:$L$30,MATCH('Mkuze-Mtamvuna CMA'!$A$1,'CMA function inputs'!$A$25:$A$30,0),MATCH('Mkuze-Mtamvuna CMA'!$A6,'CMA function inputs'!$B$24:$L$24,0))&lt;=E$2,1,0))</f>
        <v>1</v>
      </c>
      <c r="F6">
        <f>IF($B6=1,1,IF(INDEX('CMA function inputs'!$B$25:$L$30,MATCH('Mkuze-Mtamvuna CMA'!$A$1,'CMA function inputs'!$A$25:$A$30,0),MATCH('Mkuze-Mtamvuna CMA'!$A6,'CMA function inputs'!$B$24:$L$24,0))&lt;=F$2,1,0))</f>
        <v>1</v>
      </c>
      <c r="G6">
        <f>IF($B6=1,1,IF(INDEX('CMA function inputs'!$B$25:$L$30,MATCH('Mkuze-Mtamvuna CMA'!$A$1,'CMA function inputs'!$A$25:$A$30,0),MATCH('Mkuze-Mtamvuna CMA'!$A6,'CMA function inputs'!$B$24:$L$24,0))&lt;=G$2,1,0))</f>
        <v>1</v>
      </c>
      <c r="H6">
        <f>IF($B6=1,1,IF(INDEX('CMA function inputs'!$B$25:$L$30,MATCH('Mkuze-Mtamvuna CMA'!$A$1,'CMA function inputs'!$A$25:$A$30,0),MATCH('Mkuze-Mtamvuna CMA'!$A6,'CMA function inputs'!$B$24:$L$24,0))&lt;=H$2,1,0))</f>
        <v>1</v>
      </c>
      <c r="I6">
        <f>IF($B6=1,1,IF(INDEX('CMA function inputs'!$B$25:$L$30,MATCH('Mkuze-Mtamvuna CMA'!$A$1,'CMA function inputs'!$A$25:$A$30,0),MATCH('Mkuze-Mtamvuna CMA'!$A6,'CMA function inputs'!$B$24:$L$24,0))&lt;=I$2,1,0))</f>
        <v>1</v>
      </c>
      <c r="J6">
        <f>IF($B6=1,1,IF(INDEX('CMA function inputs'!$B$25:$L$30,MATCH('Mkuze-Mtamvuna CMA'!$A$1,'CMA function inputs'!$A$25:$A$30,0),MATCH('Mkuze-Mtamvuna CMA'!$A6,'CMA function inputs'!$B$24:$L$24,0))&lt;=J$2,1,0))</f>
        <v>1</v>
      </c>
      <c r="K6">
        <f>IF($B6=1,1,IF(INDEX('CMA function inputs'!$B$25:$L$30,MATCH('Mkuze-Mtamvuna CMA'!$A$1,'CMA function inputs'!$A$25:$A$30,0),MATCH('Mkuze-Mtamvuna CMA'!$A6,'CMA function inputs'!$B$24:$L$24,0))&lt;=K$2,1,0))</f>
        <v>1</v>
      </c>
    </row>
    <row r="7" spans="1:11" x14ac:dyDescent="0.25">
      <c r="A7" s="4" t="s">
        <v>12</v>
      </c>
      <c r="B7">
        <f>INDEX('CMA function inputs'!$B$17:$L$22,MATCH($A$1,'CMA function inputs'!$A$17:$A$22,0),MATCH(A7,'CMA function inputs'!$B$16:$L$16,0))</f>
        <v>1</v>
      </c>
      <c r="C7">
        <f>IF($B7=1,1,IF(INDEX('CMA function inputs'!$B$25:$L$30,MATCH('Mkuze-Mtamvuna CMA'!$A$1,'CMA function inputs'!$A$25:$A$30,0),MATCH('Mkuze-Mtamvuna CMA'!$A7,'CMA function inputs'!$B$24:$L$24,0))&lt;=C$2,1,0))</f>
        <v>1</v>
      </c>
      <c r="D7">
        <f>IF($B7=1,1,IF(INDEX('CMA function inputs'!$B$25:$L$30,MATCH('Mkuze-Mtamvuna CMA'!$A$1,'CMA function inputs'!$A$25:$A$30,0),MATCH('Mkuze-Mtamvuna CMA'!$A7,'CMA function inputs'!$B$24:$L$24,0))&lt;=D$2,1,0))</f>
        <v>1</v>
      </c>
      <c r="E7">
        <f>IF($B7=1,1,IF(INDEX('CMA function inputs'!$B$25:$L$30,MATCH('Mkuze-Mtamvuna CMA'!$A$1,'CMA function inputs'!$A$25:$A$30,0),MATCH('Mkuze-Mtamvuna CMA'!$A7,'CMA function inputs'!$B$24:$L$24,0))&lt;=E$2,1,0))</f>
        <v>1</v>
      </c>
      <c r="F7">
        <f>IF($B7=1,1,IF(INDEX('CMA function inputs'!$B$25:$L$30,MATCH('Mkuze-Mtamvuna CMA'!$A$1,'CMA function inputs'!$A$25:$A$30,0),MATCH('Mkuze-Mtamvuna CMA'!$A7,'CMA function inputs'!$B$24:$L$24,0))&lt;=F$2,1,0))</f>
        <v>1</v>
      </c>
      <c r="G7">
        <f>IF($B7=1,1,IF(INDEX('CMA function inputs'!$B$25:$L$30,MATCH('Mkuze-Mtamvuna CMA'!$A$1,'CMA function inputs'!$A$25:$A$30,0),MATCH('Mkuze-Mtamvuna CMA'!$A7,'CMA function inputs'!$B$24:$L$24,0))&lt;=G$2,1,0))</f>
        <v>1</v>
      </c>
      <c r="H7">
        <f>IF($B7=1,1,IF(INDEX('CMA function inputs'!$B$25:$L$30,MATCH('Mkuze-Mtamvuna CMA'!$A$1,'CMA function inputs'!$A$25:$A$30,0),MATCH('Mkuze-Mtamvuna CMA'!$A7,'CMA function inputs'!$B$24:$L$24,0))&lt;=H$2,1,0))</f>
        <v>1</v>
      </c>
      <c r="I7">
        <f>IF($B7=1,1,IF(INDEX('CMA function inputs'!$B$25:$L$30,MATCH('Mkuze-Mtamvuna CMA'!$A$1,'CMA function inputs'!$A$25:$A$30,0),MATCH('Mkuze-Mtamvuna CMA'!$A7,'CMA function inputs'!$B$24:$L$24,0))&lt;=I$2,1,0))</f>
        <v>1</v>
      </c>
      <c r="J7">
        <f>IF($B7=1,1,IF(INDEX('CMA function inputs'!$B$25:$L$30,MATCH('Mkuze-Mtamvuna CMA'!$A$1,'CMA function inputs'!$A$25:$A$30,0),MATCH('Mkuze-Mtamvuna CMA'!$A7,'CMA function inputs'!$B$24:$L$24,0))&lt;=J$2,1,0))</f>
        <v>1</v>
      </c>
      <c r="K7">
        <f>IF($B7=1,1,IF(INDEX('CMA function inputs'!$B$25:$L$30,MATCH('Mkuze-Mtamvuna CMA'!$A$1,'CMA function inputs'!$A$25:$A$30,0),MATCH('Mkuze-Mtamvuna CMA'!$A7,'CMA function inputs'!$B$24:$L$24,0))&lt;=K$2,1,0))</f>
        <v>1</v>
      </c>
    </row>
    <row r="8" spans="1:11" x14ac:dyDescent="0.25">
      <c r="A8" s="4" t="s">
        <v>13</v>
      </c>
      <c r="B8">
        <f>INDEX('CMA function inputs'!$B$17:$L$22,MATCH($A$1,'CMA function inputs'!$A$17:$A$22,0),MATCH(A8,'CMA function inputs'!$B$16:$L$16,0))</f>
        <v>1</v>
      </c>
      <c r="C8">
        <f>IF($B8=1,1,IF(INDEX('CMA function inputs'!$B$25:$L$30,MATCH('Mkuze-Mtamvuna CMA'!$A$1,'CMA function inputs'!$A$25:$A$30,0),MATCH('Mkuze-Mtamvuna CMA'!$A8,'CMA function inputs'!$B$24:$L$24,0))&lt;=C$2,1,0))</f>
        <v>1</v>
      </c>
      <c r="D8">
        <f>IF($B8=1,1,IF(INDEX('CMA function inputs'!$B$25:$L$30,MATCH('Mkuze-Mtamvuna CMA'!$A$1,'CMA function inputs'!$A$25:$A$30,0),MATCH('Mkuze-Mtamvuna CMA'!$A8,'CMA function inputs'!$B$24:$L$24,0))&lt;=D$2,1,0))</f>
        <v>1</v>
      </c>
      <c r="E8">
        <f>IF($B8=1,1,IF(INDEX('CMA function inputs'!$B$25:$L$30,MATCH('Mkuze-Mtamvuna CMA'!$A$1,'CMA function inputs'!$A$25:$A$30,0),MATCH('Mkuze-Mtamvuna CMA'!$A8,'CMA function inputs'!$B$24:$L$24,0))&lt;=E$2,1,0))</f>
        <v>1</v>
      </c>
      <c r="F8">
        <f>IF($B8=1,1,IF(INDEX('CMA function inputs'!$B$25:$L$30,MATCH('Mkuze-Mtamvuna CMA'!$A$1,'CMA function inputs'!$A$25:$A$30,0),MATCH('Mkuze-Mtamvuna CMA'!$A8,'CMA function inputs'!$B$24:$L$24,0))&lt;=F$2,1,0))</f>
        <v>1</v>
      </c>
      <c r="G8">
        <f>IF($B8=1,1,IF(INDEX('CMA function inputs'!$B$25:$L$30,MATCH('Mkuze-Mtamvuna CMA'!$A$1,'CMA function inputs'!$A$25:$A$30,0),MATCH('Mkuze-Mtamvuna CMA'!$A8,'CMA function inputs'!$B$24:$L$24,0))&lt;=G$2,1,0))</f>
        <v>1</v>
      </c>
      <c r="H8">
        <f>IF($B8=1,1,IF(INDEX('CMA function inputs'!$B$25:$L$30,MATCH('Mkuze-Mtamvuna CMA'!$A$1,'CMA function inputs'!$A$25:$A$30,0),MATCH('Mkuze-Mtamvuna CMA'!$A8,'CMA function inputs'!$B$24:$L$24,0))&lt;=H$2,1,0))</f>
        <v>1</v>
      </c>
      <c r="I8">
        <f>IF($B8=1,1,IF(INDEX('CMA function inputs'!$B$25:$L$30,MATCH('Mkuze-Mtamvuna CMA'!$A$1,'CMA function inputs'!$A$25:$A$30,0),MATCH('Mkuze-Mtamvuna CMA'!$A8,'CMA function inputs'!$B$24:$L$24,0))&lt;=I$2,1,0))</f>
        <v>1</v>
      </c>
      <c r="J8">
        <f>IF($B8=1,1,IF(INDEX('CMA function inputs'!$B$25:$L$30,MATCH('Mkuze-Mtamvuna CMA'!$A$1,'CMA function inputs'!$A$25:$A$30,0),MATCH('Mkuze-Mtamvuna CMA'!$A8,'CMA function inputs'!$B$24:$L$24,0))&lt;=J$2,1,0))</f>
        <v>1</v>
      </c>
      <c r="K8">
        <f>IF($B8=1,1,IF(INDEX('CMA function inputs'!$B$25:$L$30,MATCH('Mkuze-Mtamvuna CMA'!$A$1,'CMA function inputs'!$A$25:$A$30,0),MATCH('Mkuze-Mtamvuna CMA'!$A8,'CMA function inputs'!$B$24:$L$24,0))&lt;=K$2,1,0))</f>
        <v>1</v>
      </c>
    </row>
    <row r="9" spans="1:11" x14ac:dyDescent="0.25">
      <c r="A9" s="4" t="s">
        <v>14</v>
      </c>
      <c r="B9">
        <f>INDEX('CMA function inputs'!$B$17:$L$22,MATCH($A$1,'CMA function inputs'!$A$17:$A$22,0),MATCH(A9,'CMA function inputs'!$B$16:$L$16,0))</f>
        <v>1</v>
      </c>
      <c r="C9">
        <f>IF($B9=1,1,IF(INDEX('CMA function inputs'!$B$25:$L$30,MATCH('Mkuze-Mtamvuna CMA'!$A$1,'CMA function inputs'!$A$25:$A$30,0),MATCH('Mkuze-Mtamvuna CMA'!$A9,'CMA function inputs'!$B$24:$L$24,0))&lt;=C$2,1,0))</f>
        <v>1</v>
      </c>
      <c r="D9">
        <f>IF($B9=1,1,IF(INDEX('CMA function inputs'!$B$25:$L$30,MATCH('Mkuze-Mtamvuna CMA'!$A$1,'CMA function inputs'!$A$25:$A$30,0),MATCH('Mkuze-Mtamvuna CMA'!$A9,'CMA function inputs'!$B$24:$L$24,0))&lt;=D$2,1,0))</f>
        <v>1</v>
      </c>
      <c r="E9">
        <f>IF($B9=1,1,IF(INDEX('CMA function inputs'!$B$25:$L$30,MATCH('Mkuze-Mtamvuna CMA'!$A$1,'CMA function inputs'!$A$25:$A$30,0),MATCH('Mkuze-Mtamvuna CMA'!$A9,'CMA function inputs'!$B$24:$L$24,0))&lt;=E$2,1,0))</f>
        <v>1</v>
      </c>
      <c r="F9">
        <f>IF($B9=1,1,IF(INDEX('CMA function inputs'!$B$25:$L$30,MATCH('Mkuze-Mtamvuna CMA'!$A$1,'CMA function inputs'!$A$25:$A$30,0),MATCH('Mkuze-Mtamvuna CMA'!$A9,'CMA function inputs'!$B$24:$L$24,0))&lt;=F$2,1,0))</f>
        <v>1</v>
      </c>
      <c r="G9">
        <f>IF($B9=1,1,IF(INDEX('CMA function inputs'!$B$25:$L$30,MATCH('Mkuze-Mtamvuna CMA'!$A$1,'CMA function inputs'!$A$25:$A$30,0),MATCH('Mkuze-Mtamvuna CMA'!$A9,'CMA function inputs'!$B$24:$L$24,0))&lt;=G$2,1,0))</f>
        <v>1</v>
      </c>
      <c r="H9">
        <f>IF($B9=1,1,IF(INDEX('CMA function inputs'!$B$25:$L$30,MATCH('Mkuze-Mtamvuna CMA'!$A$1,'CMA function inputs'!$A$25:$A$30,0),MATCH('Mkuze-Mtamvuna CMA'!$A9,'CMA function inputs'!$B$24:$L$24,0))&lt;=H$2,1,0))</f>
        <v>1</v>
      </c>
      <c r="I9">
        <f>IF($B9=1,1,IF(INDEX('CMA function inputs'!$B$25:$L$30,MATCH('Mkuze-Mtamvuna CMA'!$A$1,'CMA function inputs'!$A$25:$A$30,0),MATCH('Mkuze-Mtamvuna CMA'!$A9,'CMA function inputs'!$B$24:$L$24,0))&lt;=I$2,1,0))</f>
        <v>1</v>
      </c>
      <c r="J9">
        <f>IF($B9=1,1,IF(INDEX('CMA function inputs'!$B$25:$L$30,MATCH('Mkuze-Mtamvuna CMA'!$A$1,'CMA function inputs'!$A$25:$A$30,0),MATCH('Mkuze-Mtamvuna CMA'!$A9,'CMA function inputs'!$B$24:$L$24,0))&lt;=J$2,1,0))</f>
        <v>1</v>
      </c>
      <c r="K9">
        <f>IF($B9=1,1,IF(INDEX('CMA function inputs'!$B$25:$L$30,MATCH('Mkuze-Mtamvuna CMA'!$A$1,'CMA function inputs'!$A$25:$A$30,0),MATCH('Mkuze-Mtamvuna CMA'!$A9,'CMA function inputs'!$B$24:$L$24,0))&lt;=K$2,1,0))</f>
        <v>1</v>
      </c>
    </row>
    <row r="10" spans="1:11" x14ac:dyDescent="0.25">
      <c r="A10" s="4" t="s">
        <v>125</v>
      </c>
      <c r="B10">
        <f>INDEX('CMA function inputs'!$B$17:$L$22,MATCH($A$1,'CMA function inputs'!$A$17:$A$22,0),MATCH(A10,'CMA function inputs'!$B$16:$L$16,0))</f>
        <v>1</v>
      </c>
      <c r="C10">
        <f>IF($B10=1,1,IF(INDEX('CMA function inputs'!$B$25:$L$30,MATCH('Mkuze-Mtamvuna CMA'!$A$1,'CMA function inputs'!$A$25:$A$30,0),MATCH('Mkuze-Mtamvuna CMA'!$A10,'CMA function inputs'!$B$24:$L$24,0))&lt;=C$2,1,0))</f>
        <v>1</v>
      </c>
      <c r="D10">
        <f>IF($B10=1,1,IF(INDEX('CMA function inputs'!$B$25:$L$30,MATCH('Mkuze-Mtamvuna CMA'!$A$1,'CMA function inputs'!$A$25:$A$30,0),MATCH('Mkuze-Mtamvuna CMA'!$A10,'CMA function inputs'!$B$24:$L$24,0))&lt;=D$2,1,0))</f>
        <v>1</v>
      </c>
      <c r="E10">
        <f>IF($B10=1,1,IF(INDEX('CMA function inputs'!$B$25:$L$30,MATCH('Mkuze-Mtamvuna CMA'!$A$1,'CMA function inputs'!$A$25:$A$30,0),MATCH('Mkuze-Mtamvuna CMA'!$A10,'CMA function inputs'!$B$24:$L$24,0))&lt;=E$2,1,0))</f>
        <v>1</v>
      </c>
      <c r="F10">
        <f>IF($B10=1,1,IF(INDEX('CMA function inputs'!$B$25:$L$30,MATCH('Mkuze-Mtamvuna CMA'!$A$1,'CMA function inputs'!$A$25:$A$30,0),MATCH('Mkuze-Mtamvuna CMA'!$A10,'CMA function inputs'!$B$24:$L$24,0))&lt;=F$2,1,0))</f>
        <v>1</v>
      </c>
      <c r="G10">
        <f>IF($B10=1,1,IF(INDEX('CMA function inputs'!$B$25:$L$30,MATCH('Mkuze-Mtamvuna CMA'!$A$1,'CMA function inputs'!$A$25:$A$30,0),MATCH('Mkuze-Mtamvuna CMA'!$A10,'CMA function inputs'!$B$24:$L$24,0))&lt;=G$2,1,0))</f>
        <v>1</v>
      </c>
      <c r="H10">
        <f>IF($B10=1,1,IF(INDEX('CMA function inputs'!$B$25:$L$30,MATCH('Mkuze-Mtamvuna CMA'!$A$1,'CMA function inputs'!$A$25:$A$30,0),MATCH('Mkuze-Mtamvuna CMA'!$A10,'CMA function inputs'!$B$24:$L$24,0))&lt;=H$2,1,0))</f>
        <v>1</v>
      </c>
      <c r="I10">
        <f>IF($B10=1,1,IF(INDEX('CMA function inputs'!$B$25:$L$30,MATCH('Mkuze-Mtamvuna CMA'!$A$1,'CMA function inputs'!$A$25:$A$30,0),MATCH('Mkuze-Mtamvuna CMA'!$A10,'CMA function inputs'!$B$24:$L$24,0))&lt;=I$2,1,0))</f>
        <v>1</v>
      </c>
      <c r="J10">
        <f>IF($B10=1,1,IF(INDEX('CMA function inputs'!$B$25:$L$30,MATCH('Mkuze-Mtamvuna CMA'!$A$1,'CMA function inputs'!$A$25:$A$30,0),MATCH('Mkuze-Mtamvuna CMA'!$A10,'CMA function inputs'!$B$24:$L$24,0))&lt;=J$2,1,0))</f>
        <v>1</v>
      </c>
      <c r="K10">
        <f>IF($B10=1,1,IF(INDEX('CMA function inputs'!$B$25:$L$30,MATCH('Mkuze-Mtamvuna CMA'!$A$1,'CMA function inputs'!$A$25:$A$30,0),MATCH('Mkuze-Mtamvuna CMA'!$A10,'CMA function inputs'!$B$24:$L$24,0))&lt;=K$2,1,0))</f>
        <v>1</v>
      </c>
    </row>
    <row r="11" spans="1:11" x14ac:dyDescent="0.25">
      <c r="A11" s="4" t="s">
        <v>37</v>
      </c>
      <c r="B11">
        <f>INDEX('CMA function inputs'!$B$17:$L$22,MATCH($A$1,'CMA function inputs'!$A$17:$A$22,0),MATCH(A11,'CMA function inputs'!$B$16:$L$16,0))</f>
        <v>1</v>
      </c>
      <c r="C11">
        <f>IF($B11=1,1,IF(INDEX('CMA function inputs'!$B$25:$L$30,MATCH('Mkuze-Mtamvuna CMA'!$A$1,'CMA function inputs'!$A$25:$A$30,0),MATCH('Mkuze-Mtamvuna CMA'!$A11,'CMA function inputs'!$B$24:$L$24,0))&lt;=C$2,1,0))</f>
        <v>1</v>
      </c>
      <c r="D11">
        <f>IF($B11=1,1,IF(INDEX('CMA function inputs'!$B$25:$L$30,MATCH('Mkuze-Mtamvuna CMA'!$A$1,'CMA function inputs'!$A$25:$A$30,0),MATCH('Mkuze-Mtamvuna CMA'!$A11,'CMA function inputs'!$B$24:$L$24,0))&lt;=D$2,1,0))</f>
        <v>1</v>
      </c>
      <c r="E11">
        <f>IF($B11=1,1,IF(INDEX('CMA function inputs'!$B$25:$L$30,MATCH('Mkuze-Mtamvuna CMA'!$A$1,'CMA function inputs'!$A$25:$A$30,0),MATCH('Mkuze-Mtamvuna CMA'!$A11,'CMA function inputs'!$B$24:$L$24,0))&lt;=E$2,1,0))</f>
        <v>1</v>
      </c>
      <c r="F11">
        <f>IF($B11=1,1,IF(INDEX('CMA function inputs'!$B$25:$L$30,MATCH('Mkuze-Mtamvuna CMA'!$A$1,'CMA function inputs'!$A$25:$A$30,0),MATCH('Mkuze-Mtamvuna CMA'!$A11,'CMA function inputs'!$B$24:$L$24,0))&lt;=F$2,1,0))</f>
        <v>1</v>
      </c>
      <c r="G11">
        <f>IF($B11=1,1,IF(INDEX('CMA function inputs'!$B$25:$L$30,MATCH('Mkuze-Mtamvuna CMA'!$A$1,'CMA function inputs'!$A$25:$A$30,0),MATCH('Mkuze-Mtamvuna CMA'!$A11,'CMA function inputs'!$B$24:$L$24,0))&lt;=G$2,1,0))</f>
        <v>1</v>
      </c>
      <c r="H11">
        <f>IF($B11=1,1,IF(INDEX('CMA function inputs'!$B$25:$L$30,MATCH('Mkuze-Mtamvuna CMA'!$A$1,'CMA function inputs'!$A$25:$A$30,0),MATCH('Mkuze-Mtamvuna CMA'!$A11,'CMA function inputs'!$B$24:$L$24,0))&lt;=H$2,1,0))</f>
        <v>1</v>
      </c>
      <c r="I11">
        <f>IF($B11=1,1,IF(INDEX('CMA function inputs'!$B$25:$L$30,MATCH('Mkuze-Mtamvuna CMA'!$A$1,'CMA function inputs'!$A$25:$A$30,0),MATCH('Mkuze-Mtamvuna CMA'!$A11,'CMA function inputs'!$B$24:$L$24,0))&lt;=I$2,1,0))</f>
        <v>1</v>
      </c>
      <c r="J11">
        <f>IF($B11=1,1,IF(INDEX('CMA function inputs'!$B$25:$L$30,MATCH('Mkuze-Mtamvuna CMA'!$A$1,'CMA function inputs'!$A$25:$A$30,0),MATCH('Mkuze-Mtamvuna CMA'!$A11,'CMA function inputs'!$B$24:$L$24,0))&lt;=J$2,1,0))</f>
        <v>1</v>
      </c>
      <c r="K11">
        <f>IF($B11=1,1,IF(INDEX('CMA function inputs'!$B$25:$L$30,MATCH('Mkuze-Mtamvuna CMA'!$A$1,'CMA function inputs'!$A$25:$A$30,0),MATCH('Mkuze-Mtamvuna CMA'!$A11,'CMA function inputs'!$B$24:$L$24,0))&lt;=K$2,1,0))</f>
        <v>1</v>
      </c>
    </row>
    <row r="12" spans="1:11" x14ac:dyDescent="0.25">
      <c r="A12" s="4" t="s">
        <v>38</v>
      </c>
      <c r="B12">
        <f>INDEX('CMA function inputs'!$B$17:$L$22,MATCH($A$1,'CMA function inputs'!$A$17:$A$22,0),MATCH(A12,'CMA function inputs'!$B$16:$L$16,0))</f>
        <v>1</v>
      </c>
      <c r="C12">
        <f>IF($B12=1,1,IF(INDEX('CMA function inputs'!$B$25:$L$30,MATCH('Mkuze-Mtamvuna CMA'!$A$1,'CMA function inputs'!$A$25:$A$30,0),MATCH('Mkuze-Mtamvuna CMA'!$A12,'CMA function inputs'!$B$24:$L$24,0))&lt;=C$2,1,0))</f>
        <v>1</v>
      </c>
      <c r="D12">
        <f>IF($B12=1,1,IF(INDEX('CMA function inputs'!$B$25:$L$30,MATCH('Mkuze-Mtamvuna CMA'!$A$1,'CMA function inputs'!$A$25:$A$30,0),MATCH('Mkuze-Mtamvuna CMA'!$A12,'CMA function inputs'!$B$24:$L$24,0))&lt;=D$2,1,0))</f>
        <v>1</v>
      </c>
      <c r="E12">
        <f>IF($B12=1,1,IF(INDEX('CMA function inputs'!$B$25:$L$30,MATCH('Mkuze-Mtamvuna CMA'!$A$1,'CMA function inputs'!$A$25:$A$30,0),MATCH('Mkuze-Mtamvuna CMA'!$A12,'CMA function inputs'!$B$24:$L$24,0))&lt;=E$2,1,0))</f>
        <v>1</v>
      </c>
      <c r="F12">
        <f>IF($B12=1,1,IF(INDEX('CMA function inputs'!$B$25:$L$30,MATCH('Mkuze-Mtamvuna CMA'!$A$1,'CMA function inputs'!$A$25:$A$30,0),MATCH('Mkuze-Mtamvuna CMA'!$A12,'CMA function inputs'!$B$24:$L$24,0))&lt;=F$2,1,0))</f>
        <v>1</v>
      </c>
      <c r="G12">
        <f>IF($B12=1,1,IF(INDEX('CMA function inputs'!$B$25:$L$30,MATCH('Mkuze-Mtamvuna CMA'!$A$1,'CMA function inputs'!$A$25:$A$30,0),MATCH('Mkuze-Mtamvuna CMA'!$A12,'CMA function inputs'!$B$24:$L$24,0))&lt;=G$2,1,0))</f>
        <v>1</v>
      </c>
      <c r="H12">
        <f>IF($B12=1,1,IF(INDEX('CMA function inputs'!$B$25:$L$30,MATCH('Mkuze-Mtamvuna CMA'!$A$1,'CMA function inputs'!$A$25:$A$30,0),MATCH('Mkuze-Mtamvuna CMA'!$A12,'CMA function inputs'!$B$24:$L$24,0))&lt;=H$2,1,0))</f>
        <v>1</v>
      </c>
      <c r="I12">
        <f>IF($B12=1,1,IF(INDEX('CMA function inputs'!$B$25:$L$30,MATCH('Mkuze-Mtamvuna CMA'!$A$1,'CMA function inputs'!$A$25:$A$30,0),MATCH('Mkuze-Mtamvuna CMA'!$A12,'CMA function inputs'!$B$24:$L$24,0))&lt;=I$2,1,0))</f>
        <v>1</v>
      </c>
      <c r="J12">
        <f>IF($B12=1,1,IF(INDEX('CMA function inputs'!$B$25:$L$30,MATCH('Mkuze-Mtamvuna CMA'!$A$1,'CMA function inputs'!$A$25:$A$30,0),MATCH('Mkuze-Mtamvuna CMA'!$A12,'CMA function inputs'!$B$24:$L$24,0))&lt;=J$2,1,0))</f>
        <v>1</v>
      </c>
      <c r="K12">
        <f>IF($B12=1,1,IF(INDEX('CMA function inputs'!$B$25:$L$30,MATCH('Mkuze-Mtamvuna CMA'!$A$1,'CMA function inputs'!$A$25:$A$30,0),MATCH('Mkuze-Mtamvuna CMA'!$A12,'CMA function inputs'!$B$24:$L$24,0))&lt;=K$2,1,0))</f>
        <v>1</v>
      </c>
    </row>
    <row r="13" spans="1:11" x14ac:dyDescent="0.25">
      <c r="A13" s="4" t="s">
        <v>15</v>
      </c>
      <c r="B13">
        <f>INDEX('CMA function inputs'!$B$17:$L$22,MATCH($A$1,'CMA function inputs'!$A$17:$A$22,0),MATCH(A13,'CMA function inputs'!$B$16:$L$16,0))</f>
        <v>1</v>
      </c>
      <c r="C13">
        <f>IF($B13=1,1,IF(INDEX('CMA function inputs'!$B$25:$L$30,MATCH('Mkuze-Mtamvuna CMA'!$A$1,'CMA function inputs'!$A$25:$A$30,0),MATCH('Mkuze-Mtamvuna CMA'!$A13,'CMA function inputs'!$B$24:$L$24,0))&lt;=C$2,1,0))</f>
        <v>1</v>
      </c>
      <c r="D13">
        <f>IF($B13=1,1,IF(INDEX('CMA function inputs'!$B$25:$L$30,MATCH('Mkuze-Mtamvuna CMA'!$A$1,'CMA function inputs'!$A$25:$A$30,0),MATCH('Mkuze-Mtamvuna CMA'!$A13,'CMA function inputs'!$B$24:$L$24,0))&lt;=D$2,1,0))</f>
        <v>1</v>
      </c>
      <c r="E13">
        <f>IF($B13=1,1,IF(INDEX('CMA function inputs'!$B$25:$L$30,MATCH('Mkuze-Mtamvuna CMA'!$A$1,'CMA function inputs'!$A$25:$A$30,0),MATCH('Mkuze-Mtamvuna CMA'!$A13,'CMA function inputs'!$B$24:$L$24,0))&lt;=E$2,1,0))</f>
        <v>1</v>
      </c>
      <c r="F13">
        <f>IF($B13=1,1,IF(INDEX('CMA function inputs'!$B$25:$L$30,MATCH('Mkuze-Mtamvuna CMA'!$A$1,'CMA function inputs'!$A$25:$A$30,0),MATCH('Mkuze-Mtamvuna CMA'!$A13,'CMA function inputs'!$B$24:$L$24,0))&lt;=F$2,1,0))</f>
        <v>1</v>
      </c>
      <c r="G13">
        <f>IF($B13=1,1,IF(INDEX('CMA function inputs'!$B$25:$L$30,MATCH('Mkuze-Mtamvuna CMA'!$A$1,'CMA function inputs'!$A$25:$A$30,0),MATCH('Mkuze-Mtamvuna CMA'!$A13,'CMA function inputs'!$B$24:$L$24,0))&lt;=G$2,1,0))</f>
        <v>1</v>
      </c>
      <c r="H13">
        <f>IF($B13=1,1,IF(INDEX('CMA function inputs'!$B$25:$L$30,MATCH('Mkuze-Mtamvuna CMA'!$A$1,'CMA function inputs'!$A$25:$A$30,0),MATCH('Mkuze-Mtamvuna CMA'!$A13,'CMA function inputs'!$B$24:$L$24,0))&lt;=H$2,1,0))</f>
        <v>1</v>
      </c>
      <c r="I13">
        <f>IF($B13=1,1,IF(INDEX('CMA function inputs'!$B$25:$L$30,MATCH('Mkuze-Mtamvuna CMA'!$A$1,'CMA function inputs'!$A$25:$A$30,0),MATCH('Mkuze-Mtamvuna CMA'!$A13,'CMA function inputs'!$B$24:$L$24,0))&lt;=I$2,1,0))</f>
        <v>1</v>
      </c>
      <c r="J13">
        <f>IF($B13=1,1,IF(INDEX('CMA function inputs'!$B$25:$L$30,MATCH('Mkuze-Mtamvuna CMA'!$A$1,'CMA function inputs'!$A$25:$A$30,0),MATCH('Mkuze-Mtamvuna CMA'!$A13,'CMA function inputs'!$B$24:$L$24,0))&lt;=J$2,1,0))</f>
        <v>1</v>
      </c>
      <c r="K13">
        <f>IF($B13=1,1,IF(INDEX('CMA function inputs'!$B$25:$L$30,MATCH('Mkuze-Mtamvuna CMA'!$A$1,'CMA function inputs'!$A$25:$A$30,0),MATCH('Mkuze-Mtamvuna CMA'!$A13,'CMA function inputs'!$B$24:$L$24,0))&lt;=K$2,1,0))</f>
        <v>1</v>
      </c>
    </row>
    <row r="14" spans="1:11" x14ac:dyDescent="0.25">
      <c r="A14" s="4"/>
    </row>
    <row r="15" spans="1:11" x14ac:dyDescent="0.25">
      <c r="A15" s="4"/>
      <c r="B15" t="s">
        <v>55</v>
      </c>
      <c r="C15" t="s">
        <v>20</v>
      </c>
      <c r="D15" t="s">
        <v>21</v>
      </c>
      <c r="E15" t="s">
        <v>51</v>
      </c>
    </row>
    <row r="16" spans="1:11" x14ac:dyDescent="0.25">
      <c r="A16" s="4" t="s">
        <v>35</v>
      </c>
      <c r="B16" s="9">
        <f>'CMA function inputs'!B3</f>
        <v>3.1046720286065279E-3</v>
      </c>
      <c r="C16" t="str">
        <f>'CMA function inputs'!C3</f>
        <v>Registered volume</v>
      </c>
      <c r="D16" s="8">
        <f>INDEX('Data inputs'!$B$4:$D$9,MATCH($A$1,'Data inputs'!$A$4:$A$9,0),MATCH(C16,'Data inputs'!$B$3:$D$3,0))</f>
        <v>2778000000</v>
      </c>
      <c r="E16" s="5">
        <f>B16*D16</f>
        <v>8624778.8954689354</v>
      </c>
    </row>
    <row r="17" spans="1:11" x14ac:dyDescent="0.25">
      <c r="A17" s="4" t="s">
        <v>36</v>
      </c>
      <c r="B17" s="9">
        <f>'CMA function inputs'!B4</f>
        <v>1.7019297206331829E-3</v>
      </c>
      <c r="C17" t="str">
        <f>'CMA function inputs'!C4</f>
        <v>Registered volume</v>
      </c>
      <c r="D17" s="8">
        <f>INDEX('Data inputs'!$B$4:$D$9,MATCH($A$1,'Data inputs'!$A$4:$A$9,0),MATCH(C17,'Data inputs'!$B$3:$D$3,0))</f>
        <v>2778000000</v>
      </c>
      <c r="E17" s="5">
        <f t="shared" ref="E17:E26" si="1">B17*D17</f>
        <v>4727960.7639189819</v>
      </c>
    </row>
    <row r="18" spans="1:11" x14ac:dyDescent="0.25">
      <c r="A18" s="4" t="s">
        <v>11</v>
      </c>
      <c r="B18" s="82">
        <v>0</v>
      </c>
      <c r="C18" s="82">
        <v>0</v>
      </c>
      <c r="D18" s="82">
        <v>0</v>
      </c>
      <c r="E18" s="82">
        <v>0</v>
      </c>
      <c r="F18" s="83" t="s">
        <v>112</v>
      </c>
    </row>
    <row r="19" spans="1:11" x14ac:dyDescent="0.25">
      <c r="A19" s="4" t="s">
        <v>124</v>
      </c>
      <c r="B19" s="9">
        <f>'CMA function inputs'!B6</f>
        <v>15.079185256950241</v>
      </c>
      <c r="C19" t="str">
        <f>'CMA function inputs'!C6</f>
        <v>Area</v>
      </c>
      <c r="D19" s="8">
        <f>INDEX('Data inputs'!$B$4:$D$9,MATCH($A$1,'Data inputs'!$A$4:$A$9,0),MATCH(C19,'Data inputs'!$B$3:$D$3,0))</f>
        <v>84064.068144999997</v>
      </c>
      <c r="E19" s="5">
        <f t="shared" si="1"/>
        <v>1267617.6570113443</v>
      </c>
    </row>
    <row r="20" spans="1:11" x14ac:dyDescent="0.25">
      <c r="A20" s="4" t="s">
        <v>12</v>
      </c>
      <c r="B20" s="9">
        <f>'CMA function inputs'!B7</f>
        <v>9.7869565022375288E-3</v>
      </c>
      <c r="C20" t="str">
        <f>'CMA function inputs'!C7</f>
        <v>Registered volume</v>
      </c>
      <c r="D20" s="8">
        <f>INDEX('Data inputs'!$B$4:$D$9,MATCH($A$1,'Data inputs'!$A$4:$A$9,0),MATCH(C20,'Data inputs'!$B$3:$D$3,0))</f>
        <v>2778000000</v>
      </c>
      <c r="E20" s="5">
        <f t="shared" si="1"/>
        <v>27188165.163215853</v>
      </c>
    </row>
    <row r="21" spans="1:11" x14ac:dyDescent="0.25">
      <c r="A21" s="4" t="s">
        <v>13</v>
      </c>
      <c r="B21" s="82">
        <v>0</v>
      </c>
      <c r="C21" s="82">
        <v>0</v>
      </c>
      <c r="D21" s="82">
        <v>0</v>
      </c>
      <c r="E21" s="82">
        <v>0</v>
      </c>
      <c r="F21" s="83" t="s">
        <v>112</v>
      </c>
    </row>
    <row r="22" spans="1:11" x14ac:dyDescent="0.25">
      <c r="A22" s="4" t="s">
        <v>14</v>
      </c>
      <c r="B22" s="82">
        <v>0</v>
      </c>
      <c r="C22" s="82">
        <v>0</v>
      </c>
      <c r="D22" s="82">
        <v>0</v>
      </c>
      <c r="E22" s="82">
        <v>0</v>
      </c>
      <c r="F22" s="83" t="s">
        <v>112</v>
      </c>
    </row>
    <row r="23" spans="1:11" x14ac:dyDescent="0.25">
      <c r="A23" s="4" t="s">
        <v>125</v>
      </c>
      <c r="B23" s="9">
        <f>'CMA function inputs'!B10</f>
        <v>3.2367164664335804E-4</v>
      </c>
      <c r="C23" t="str">
        <f>'CMA function inputs'!C10</f>
        <v>Registered volume</v>
      </c>
      <c r="D23" s="8">
        <f>INDEX('Data inputs'!$B$4:$D$9,MATCH($A$1,'Data inputs'!$A$4:$A$9,0),MATCH(C23,'Data inputs'!$B$3:$D$3,0))</f>
        <v>2778000000</v>
      </c>
      <c r="E23" s="5">
        <f t="shared" ref="E23" si="2">B23*D23</f>
        <v>899159.83437524864</v>
      </c>
      <c r="F23" s="83"/>
    </row>
    <row r="24" spans="1:11" x14ac:dyDescent="0.25">
      <c r="A24" s="4" t="s">
        <v>37</v>
      </c>
      <c r="B24" s="9">
        <f>'CMA function inputs'!B11</f>
        <v>9.4147590178041175E-3</v>
      </c>
      <c r="C24" t="str">
        <f>'CMA function inputs'!C11</f>
        <v>Registered volume</v>
      </c>
      <c r="D24" s="8">
        <f>INDEX('Data inputs'!$B$4:$D$9,MATCH($A$1,'Data inputs'!$A$4:$A$9,0),MATCH(C24,'Data inputs'!$B$3:$D$3,0))</f>
        <v>2778000000</v>
      </c>
      <c r="E24" s="5">
        <f t="shared" si="1"/>
        <v>26154200.551459838</v>
      </c>
    </row>
    <row r="25" spans="1:11" x14ac:dyDescent="0.25">
      <c r="A25" s="4" t="s">
        <v>38</v>
      </c>
      <c r="B25" s="9">
        <f>'CMA function inputs'!B12</f>
        <v>1.262070332489598E-3</v>
      </c>
      <c r="C25" t="str">
        <f>'CMA function inputs'!C12</f>
        <v>Registered volume</v>
      </c>
      <c r="D25" s="8">
        <f>INDEX('Data inputs'!$B$4:$D$9,MATCH($A$1,'Data inputs'!$A$4:$A$9,0),MATCH(C25,'Data inputs'!$B$3:$D$3,0))</f>
        <v>2778000000</v>
      </c>
      <c r="E25" s="5">
        <f t="shared" si="1"/>
        <v>3506031.3836561032</v>
      </c>
    </row>
    <row r="26" spans="1:11" x14ac:dyDescent="0.25">
      <c r="A26" s="4" t="s">
        <v>15</v>
      </c>
      <c r="B26" s="9">
        <f>'CMA function inputs'!B13</f>
        <v>1.0919241845339479E-2</v>
      </c>
      <c r="C26" t="str">
        <f>'CMA function inputs'!C13</f>
        <v>Registered volume</v>
      </c>
      <c r="D26" s="8">
        <f>INDEX('Data inputs'!$B$4:$D$9,MATCH($A$1,'Data inputs'!$A$4:$A$9,0),MATCH(C26,'Data inputs'!$B$3:$D$3,0))</f>
        <v>2778000000</v>
      </c>
      <c r="E26" s="13">
        <f t="shared" si="1"/>
        <v>30333653.846353073</v>
      </c>
    </row>
    <row r="27" spans="1:11" x14ac:dyDescent="0.25">
      <c r="E27" s="14">
        <f>SUM(E16:E26)</f>
        <v>102701568.09545937</v>
      </c>
    </row>
    <row r="28" spans="1:11" s="3" customFormat="1" x14ac:dyDescent="0.25">
      <c r="A28" s="2"/>
    </row>
    <row r="29" spans="1:11" x14ac:dyDescent="0.25">
      <c r="A29" s="70" t="s">
        <v>22</v>
      </c>
      <c r="B29" s="7">
        <f>'Summary dashboard'!B3</f>
        <v>1</v>
      </c>
      <c r="C29" s="6">
        <f t="shared" ref="C29:J29" si="3">B29+($K$29-$B$29)/9</f>
        <v>1</v>
      </c>
      <c r="D29" s="6">
        <f t="shared" si="3"/>
        <v>1</v>
      </c>
      <c r="E29" s="6">
        <f t="shared" si="3"/>
        <v>1</v>
      </c>
      <c r="F29" s="6">
        <f t="shared" si="3"/>
        <v>1</v>
      </c>
      <c r="G29" s="6">
        <f t="shared" si="3"/>
        <v>1</v>
      </c>
      <c r="H29" s="6">
        <f t="shared" si="3"/>
        <v>1</v>
      </c>
      <c r="I29" s="6">
        <f t="shared" si="3"/>
        <v>1</v>
      </c>
      <c r="J29" s="6">
        <f t="shared" si="3"/>
        <v>1</v>
      </c>
      <c r="K29" s="7">
        <f>'Summary dashboard'!C3</f>
        <v>1</v>
      </c>
    </row>
    <row r="30" spans="1:11" x14ac:dyDescent="0.25">
      <c r="B30" s="12" t="str">
        <f>'Summary dashboard'!C4</f>
        <v>2023</v>
      </c>
      <c r="C30" s="12">
        <f>B30+1</f>
        <v>2024</v>
      </c>
      <c r="D30" s="12">
        <f t="shared" ref="D30:J30" si="4">C30+1</f>
        <v>2025</v>
      </c>
      <c r="E30" s="12">
        <f t="shared" si="4"/>
        <v>2026</v>
      </c>
      <c r="F30" s="12">
        <f t="shared" si="4"/>
        <v>2027</v>
      </c>
      <c r="G30" s="12">
        <f t="shared" si="4"/>
        <v>2028</v>
      </c>
      <c r="H30" s="12">
        <f t="shared" si="4"/>
        <v>2029</v>
      </c>
      <c r="I30" s="12">
        <f t="shared" si="4"/>
        <v>2030</v>
      </c>
      <c r="J30" s="12">
        <f t="shared" si="4"/>
        <v>2031</v>
      </c>
      <c r="K30" s="12">
        <f>J30+1</f>
        <v>2032</v>
      </c>
    </row>
    <row r="31" spans="1:11" x14ac:dyDescent="0.25">
      <c r="A31" s="4" t="s">
        <v>35</v>
      </c>
      <c r="B31" s="16">
        <f>IF(B3=1,B$29,0)</f>
        <v>1</v>
      </c>
      <c r="C31" s="16">
        <f t="shared" ref="C31:K31" si="5">IF(IF(C3&gt;B3,$B$29,B31+($K$29-$B$29)/9)&lt;0,0,IF(C3&gt;B3,$B$29,B31+($K$29-$B$29)/9))</f>
        <v>1</v>
      </c>
      <c r="D31" s="16">
        <f t="shared" si="5"/>
        <v>1</v>
      </c>
      <c r="E31" s="16">
        <f>IF(IF(E3&gt;D3,$B$29,D31+($K$29-$B$29)/9)&lt;0,0,IF(E3&gt;D3,$B$29,D31+($K$29-$B$29)/9))</f>
        <v>1</v>
      </c>
      <c r="F31" s="16">
        <f t="shared" si="5"/>
        <v>1</v>
      </c>
      <c r="G31" s="16">
        <f t="shared" si="5"/>
        <v>1</v>
      </c>
      <c r="H31" s="16">
        <f t="shared" si="5"/>
        <v>1</v>
      </c>
      <c r="I31" s="16">
        <f t="shared" si="5"/>
        <v>1</v>
      </c>
      <c r="J31" s="16">
        <f t="shared" si="5"/>
        <v>1</v>
      </c>
      <c r="K31" s="16">
        <f t="shared" si="5"/>
        <v>1</v>
      </c>
    </row>
    <row r="32" spans="1:11" x14ac:dyDescent="0.25">
      <c r="A32" s="4" t="s">
        <v>36</v>
      </c>
      <c r="B32" s="16">
        <f t="shared" ref="B32:B41" si="6">IF(B4=1,B$29,0)</f>
        <v>1</v>
      </c>
      <c r="C32" s="16">
        <f t="shared" ref="C32:K32" si="7">IF(IF(C4&gt;B4,$B$29,B32+($K$29-$B$29)/9)&lt;0,0,IF(C4&gt;B4,$B$29,B32+($K$29-$B$29)/9))</f>
        <v>1</v>
      </c>
      <c r="D32" s="16">
        <f t="shared" si="7"/>
        <v>1</v>
      </c>
      <c r="E32" s="16">
        <f t="shared" si="7"/>
        <v>1</v>
      </c>
      <c r="F32" s="16">
        <f t="shared" si="7"/>
        <v>1</v>
      </c>
      <c r="G32" s="16">
        <f t="shared" si="7"/>
        <v>1</v>
      </c>
      <c r="H32" s="16">
        <f t="shared" si="7"/>
        <v>1</v>
      </c>
      <c r="I32" s="16">
        <f t="shared" si="7"/>
        <v>1</v>
      </c>
      <c r="J32" s="16">
        <f t="shared" si="7"/>
        <v>1</v>
      </c>
      <c r="K32" s="16">
        <f t="shared" si="7"/>
        <v>1</v>
      </c>
    </row>
    <row r="33" spans="1:14" x14ac:dyDescent="0.25">
      <c r="A33" s="4" t="s">
        <v>11</v>
      </c>
      <c r="B33" s="16">
        <f t="shared" si="6"/>
        <v>1</v>
      </c>
      <c r="C33" s="16">
        <f t="shared" ref="C33" si="8">IF(IF(C5&gt;B5,$B$29,B33+($K$29-$B$29)/9)&lt;0,0,IF(C5&gt;B5,$B$29,B33+($K$29-$B$29)/9))</f>
        <v>1</v>
      </c>
      <c r="D33" s="16">
        <f>IF(IF(D5&gt;C5,$B$29,C33+($K$29-$B$29)/9)&lt;0,0,IF(D5&gt;C5,$B$29,C33+($K$29-$B$29)/9))</f>
        <v>1</v>
      </c>
      <c r="E33" s="16">
        <f t="shared" ref="E33:K33" si="9">IF(IF(E5&gt;D5,$B$29,D33+($K$29-$B$29)/9)&lt;0,0,IF(E5&gt;D5,$B$29,D33+($K$29-$B$29)/9))</f>
        <v>1</v>
      </c>
      <c r="F33" s="16">
        <f t="shared" si="9"/>
        <v>1</v>
      </c>
      <c r="G33" s="16">
        <f t="shared" si="9"/>
        <v>1</v>
      </c>
      <c r="H33" s="16">
        <f t="shared" si="9"/>
        <v>1</v>
      </c>
      <c r="I33" s="16">
        <f t="shared" si="9"/>
        <v>1</v>
      </c>
      <c r="J33" s="16">
        <f t="shared" si="9"/>
        <v>1</v>
      </c>
      <c r="K33" s="16">
        <f t="shared" si="9"/>
        <v>1</v>
      </c>
    </row>
    <row r="34" spans="1:14" x14ac:dyDescent="0.25">
      <c r="A34" s="4" t="s">
        <v>124</v>
      </c>
      <c r="B34" s="16">
        <f t="shared" si="6"/>
        <v>1</v>
      </c>
      <c r="C34" s="16">
        <f t="shared" ref="C34:K34" si="10">IF(IF(C6&gt;B6,$B$29,B34+($K$29-$B$29)/9)&lt;0,0,IF(C6&gt;B6,$B$29,B34+($K$29-$B$29)/9))</f>
        <v>1</v>
      </c>
      <c r="D34" s="16">
        <f t="shared" si="10"/>
        <v>1</v>
      </c>
      <c r="E34" s="16">
        <f t="shared" si="10"/>
        <v>1</v>
      </c>
      <c r="F34" s="16">
        <f t="shared" si="10"/>
        <v>1</v>
      </c>
      <c r="G34" s="16">
        <f t="shared" si="10"/>
        <v>1</v>
      </c>
      <c r="H34" s="16">
        <f t="shared" si="10"/>
        <v>1</v>
      </c>
      <c r="I34" s="16">
        <f t="shared" si="10"/>
        <v>1</v>
      </c>
      <c r="J34" s="16">
        <f t="shared" si="10"/>
        <v>1</v>
      </c>
      <c r="K34" s="16">
        <f t="shared" si="10"/>
        <v>1</v>
      </c>
    </row>
    <row r="35" spans="1:14" x14ac:dyDescent="0.25">
      <c r="A35" s="4" t="s">
        <v>12</v>
      </c>
      <c r="B35" s="16">
        <f t="shared" si="6"/>
        <v>1</v>
      </c>
      <c r="C35" s="16">
        <f t="shared" ref="C35:K35" si="11">IF(IF(C7&gt;B7,$B$29,B35+($K$29-$B$29)/9)&lt;0,0,IF(C7&gt;B7,$B$29,B35+($K$29-$B$29)/9))</f>
        <v>1</v>
      </c>
      <c r="D35" s="16">
        <f t="shared" si="11"/>
        <v>1</v>
      </c>
      <c r="E35" s="16">
        <f t="shared" si="11"/>
        <v>1</v>
      </c>
      <c r="F35" s="16">
        <f t="shared" si="11"/>
        <v>1</v>
      </c>
      <c r="G35" s="16">
        <f t="shared" si="11"/>
        <v>1</v>
      </c>
      <c r="H35" s="16">
        <f t="shared" si="11"/>
        <v>1</v>
      </c>
      <c r="I35" s="16">
        <f t="shared" si="11"/>
        <v>1</v>
      </c>
      <c r="J35" s="16">
        <f t="shared" si="11"/>
        <v>1</v>
      </c>
      <c r="K35" s="16">
        <f t="shared" si="11"/>
        <v>1</v>
      </c>
    </row>
    <row r="36" spans="1:14" x14ac:dyDescent="0.25">
      <c r="A36" s="4" t="s">
        <v>13</v>
      </c>
      <c r="B36" s="16">
        <f t="shared" si="6"/>
        <v>1</v>
      </c>
      <c r="C36" s="16">
        <f t="shared" ref="C36:K36" si="12">IF(IF(C8&gt;B8,$B$29,B36+($K$29-$B$29)/9)&lt;0,0,IF(C8&gt;B8,$B$29,B36+($K$29-$B$29)/9))</f>
        <v>1</v>
      </c>
      <c r="D36" s="16">
        <f t="shared" si="12"/>
        <v>1</v>
      </c>
      <c r="E36" s="16">
        <f t="shared" si="12"/>
        <v>1</v>
      </c>
      <c r="F36" s="16">
        <f t="shared" si="12"/>
        <v>1</v>
      </c>
      <c r="G36" s="16">
        <f t="shared" si="12"/>
        <v>1</v>
      </c>
      <c r="H36" s="16">
        <f t="shared" si="12"/>
        <v>1</v>
      </c>
      <c r="I36" s="16">
        <f t="shared" si="12"/>
        <v>1</v>
      </c>
      <c r="J36" s="16">
        <f t="shared" si="12"/>
        <v>1</v>
      </c>
      <c r="K36" s="16">
        <f t="shared" si="12"/>
        <v>1</v>
      </c>
    </row>
    <row r="37" spans="1:14" x14ac:dyDescent="0.25">
      <c r="A37" s="4" t="s">
        <v>14</v>
      </c>
      <c r="B37" s="16">
        <f t="shared" si="6"/>
        <v>1</v>
      </c>
      <c r="C37" s="16">
        <f t="shared" ref="C37:K37" si="13">IF(IF(C9&gt;B9,$B$29,B37+($K$29-$B$29)/9)&lt;0,0,IF(C9&gt;B9,$B$29,B37+($K$29-$B$29)/9))</f>
        <v>1</v>
      </c>
      <c r="D37" s="16">
        <f t="shared" si="13"/>
        <v>1</v>
      </c>
      <c r="E37" s="16">
        <f t="shared" si="13"/>
        <v>1</v>
      </c>
      <c r="F37" s="16">
        <f t="shared" si="13"/>
        <v>1</v>
      </c>
      <c r="G37" s="16">
        <f t="shared" si="13"/>
        <v>1</v>
      </c>
      <c r="H37" s="16">
        <f t="shared" si="13"/>
        <v>1</v>
      </c>
      <c r="I37" s="16">
        <f t="shared" si="13"/>
        <v>1</v>
      </c>
      <c r="J37" s="16">
        <f t="shared" si="13"/>
        <v>1</v>
      </c>
      <c r="K37" s="16">
        <f t="shared" si="13"/>
        <v>1</v>
      </c>
    </row>
    <row r="38" spans="1:14" x14ac:dyDescent="0.25">
      <c r="A38" s="4" t="s">
        <v>125</v>
      </c>
      <c r="B38" s="16">
        <f t="shared" si="6"/>
        <v>1</v>
      </c>
      <c r="C38" s="16">
        <f t="shared" ref="C38:K38" si="14">IF(IF(C10&gt;B10,$B$29,B38+($K$29-$B$29)/9)&lt;0,0,IF(C10&gt;B10,$B$29,B38+($K$29-$B$29)/9))</f>
        <v>1</v>
      </c>
      <c r="D38" s="16">
        <f t="shared" si="14"/>
        <v>1</v>
      </c>
      <c r="E38" s="16">
        <f t="shared" si="14"/>
        <v>1</v>
      </c>
      <c r="F38" s="16">
        <f t="shared" si="14"/>
        <v>1</v>
      </c>
      <c r="G38" s="16">
        <f t="shared" si="14"/>
        <v>1</v>
      </c>
      <c r="H38" s="16">
        <f t="shared" si="14"/>
        <v>1</v>
      </c>
      <c r="I38" s="16">
        <f t="shared" si="14"/>
        <v>1</v>
      </c>
      <c r="J38" s="16">
        <f t="shared" si="14"/>
        <v>1</v>
      </c>
      <c r="K38" s="16">
        <f t="shared" si="14"/>
        <v>1</v>
      </c>
    </row>
    <row r="39" spans="1:14" x14ac:dyDescent="0.25">
      <c r="A39" s="4" t="s">
        <v>37</v>
      </c>
      <c r="B39" s="16">
        <f t="shared" si="6"/>
        <v>1</v>
      </c>
      <c r="C39" s="16">
        <f t="shared" ref="C39:K39" si="15">IF(IF(C11&gt;B11,$B$29,B39+($K$29-$B$29)/9)&lt;0,0,IF(C11&gt;B11,$B$29,B39+($K$29-$B$29)/9))</f>
        <v>1</v>
      </c>
      <c r="D39" s="16">
        <f t="shared" si="15"/>
        <v>1</v>
      </c>
      <c r="E39" s="16">
        <f t="shared" si="15"/>
        <v>1</v>
      </c>
      <c r="F39" s="16">
        <f t="shared" si="15"/>
        <v>1</v>
      </c>
      <c r="G39" s="16">
        <f t="shared" si="15"/>
        <v>1</v>
      </c>
      <c r="H39" s="16">
        <f t="shared" si="15"/>
        <v>1</v>
      </c>
      <c r="I39" s="16">
        <f t="shared" si="15"/>
        <v>1</v>
      </c>
      <c r="J39" s="16">
        <f t="shared" si="15"/>
        <v>1</v>
      </c>
      <c r="K39" s="16">
        <f t="shared" si="15"/>
        <v>1</v>
      </c>
    </row>
    <row r="40" spans="1:14" x14ac:dyDescent="0.25">
      <c r="A40" s="4" t="s">
        <v>38</v>
      </c>
      <c r="B40" s="16">
        <f t="shared" si="6"/>
        <v>1</v>
      </c>
      <c r="C40" s="16">
        <f t="shared" ref="C40:K40" si="16">IF(IF(C12&gt;B12,$B$29,B40+($K$29-$B$29)/9)&lt;0,0,IF(C12&gt;B12,$B$29,B40+($K$29-$B$29)/9))</f>
        <v>1</v>
      </c>
      <c r="D40" s="16">
        <f t="shared" si="16"/>
        <v>1</v>
      </c>
      <c r="E40" s="16">
        <f t="shared" si="16"/>
        <v>1</v>
      </c>
      <c r="F40" s="16">
        <f t="shared" si="16"/>
        <v>1</v>
      </c>
      <c r="G40" s="16">
        <f t="shared" si="16"/>
        <v>1</v>
      </c>
      <c r="H40" s="16">
        <f t="shared" si="16"/>
        <v>1</v>
      </c>
      <c r="I40" s="16">
        <f t="shared" si="16"/>
        <v>1</v>
      </c>
      <c r="J40" s="16">
        <f t="shared" si="16"/>
        <v>1</v>
      </c>
      <c r="K40" s="16">
        <f t="shared" si="16"/>
        <v>1</v>
      </c>
    </row>
    <row r="41" spans="1:14" x14ac:dyDescent="0.25">
      <c r="A41" s="4" t="s">
        <v>15</v>
      </c>
      <c r="B41" s="16">
        <f t="shared" si="6"/>
        <v>1</v>
      </c>
      <c r="C41" s="16">
        <f t="shared" ref="C41:K41" si="17">IF(IF(C13&gt;B13,$B$29,B41+($K$29-$B$29)/9)&lt;0,0,IF(C13&gt;B13,$B$29,B41+($K$29-$B$29)/9))</f>
        <v>1</v>
      </c>
      <c r="D41" s="16">
        <f t="shared" si="17"/>
        <v>1</v>
      </c>
      <c r="E41" s="16">
        <f t="shared" si="17"/>
        <v>1</v>
      </c>
      <c r="F41" s="16">
        <f t="shared" si="17"/>
        <v>1</v>
      </c>
      <c r="G41" s="16">
        <f t="shared" si="17"/>
        <v>1</v>
      </c>
      <c r="H41" s="16">
        <f t="shared" si="17"/>
        <v>1</v>
      </c>
      <c r="I41" s="16">
        <f t="shared" si="17"/>
        <v>1</v>
      </c>
      <c r="J41" s="16">
        <f t="shared" si="17"/>
        <v>1</v>
      </c>
      <c r="K41" s="16">
        <f t="shared" si="17"/>
        <v>1</v>
      </c>
    </row>
    <row r="42" spans="1:14" x14ac:dyDescent="0.25">
      <c r="C42" s="6"/>
      <c r="D42" s="6"/>
      <c r="E42" s="6"/>
      <c r="F42" s="6"/>
      <c r="G42" s="6"/>
      <c r="H42" s="6"/>
      <c r="I42" s="6"/>
      <c r="J42" s="6"/>
      <c r="K42" s="6"/>
      <c r="N42" s="21" t="s">
        <v>63</v>
      </c>
    </row>
    <row r="43" spans="1:14" x14ac:dyDescent="0.25">
      <c r="A43" s="21" t="s">
        <v>60</v>
      </c>
      <c r="B43" s="12" t="str">
        <f>'Summary dashboard'!C4</f>
        <v>2023</v>
      </c>
      <c r="C43" s="12">
        <f t="shared" ref="C43" si="18">B43+1</f>
        <v>2024</v>
      </c>
      <c r="D43" s="12">
        <f t="shared" ref="D43" si="19">C43+1</f>
        <v>2025</v>
      </c>
      <c r="E43" s="12">
        <f t="shared" ref="E43" si="20">D43+1</f>
        <v>2026</v>
      </c>
      <c r="F43" s="12">
        <f t="shared" ref="F43" si="21">E43+1</f>
        <v>2027</v>
      </c>
      <c r="G43" s="12">
        <f t="shared" ref="G43" si="22">F43+1</f>
        <v>2028</v>
      </c>
      <c r="H43" s="12">
        <f t="shared" ref="H43" si="23">G43+1</f>
        <v>2029</v>
      </c>
      <c r="I43" s="12">
        <f t="shared" ref="I43" si="24">H43+1</f>
        <v>2030</v>
      </c>
      <c r="J43" s="12">
        <f t="shared" ref="J43" si="25">I43+1</f>
        <v>2031</v>
      </c>
      <c r="K43" s="12">
        <f t="shared" ref="K43" si="26">J43+1</f>
        <v>2032</v>
      </c>
      <c r="L43" s="1" t="s">
        <v>28</v>
      </c>
      <c r="N43" s="44" t="str">
        <f>'Summary dashboard'!B16</f>
        <v>2023</v>
      </c>
    </row>
    <row r="44" spans="1:14" x14ac:dyDescent="0.25">
      <c r="A44" s="4" t="s">
        <v>35</v>
      </c>
      <c r="B44" s="32">
        <f>IF($B16*$D16*B31&gt;0,$B16*$D16*B31,INDEX('Data inputs'!$B$29:$G$39,MATCH($A44,'Data inputs'!$A$29:$A$39,0),MATCH($A$1,'Data inputs'!$B$28:$G$28,0)))</f>
        <v>8624778.8954689354</v>
      </c>
      <c r="C44" s="32">
        <f>IF($B16*$D16*C31&gt;0,$B16*$D16*C31,INDEX('Data inputs'!$B$29:$G$39,MATCH($A44,'Data inputs'!$A$29:$A$39,0),MATCH($A$1,'Data inputs'!$B$28:$G$28,0)))</f>
        <v>8624778.8954689354</v>
      </c>
      <c r="D44" s="32">
        <f>IF($B16*$D16*D31&gt;0,$B16*$D16*D31,INDEX('Data inputs'!$B$29:$G$39,MATCH($A44,'Data inputs'!$A$29:$A$39,0),MATCH($A$1,'Data inputs'!$B$28:$G$28,0)))</f>
        <v>8624778.8954689354</v>
      </c>
      <c r="E44" s="32">
        <f>IF($B16*$D16*E31&gt;0,$B16*$D16*E31,INDEX('Data inputs'!$B$29:$G$39,MATCH($A44,'Data inputs'!$A$29:$A$39,0),MATCH($A$1,'Data inputs'!$B$28:$G$28,0)))</f>
        <v>8624778.8954689354</v>
      </c>
      <c r="F44" s="32">
        <f>IF($B16*$D16*F31&gt;0,$B16*$D16*F31,INDEX('Data inputs'!$B$29:$G$39,MATCH($A44,'Data inputs'!$A$29:$A$39,0),MATCH($A$1,'Data inputs'!$B$28:$G$28,0)))</f>
        <v>8624778.8954689354</v>
      </c>
      <c r="G44" s="32">
        <f>IF($B16*$D16*G31&gt;0,$B16*$D16*G31,INDEX('Data inputs'!$B$29:$G$39,MATCH($A44,'Data inputs'!$A$29:$A$39,0),MATCH($A$1,'Data inputs'!$B$28:$G$28,0)))</f>
        <v>8624778.8954689354</v>
      </c>
      <c r="H44" s="32">
        <f>IF($B16*$D16*H31&gt;0,$B16*$D16*H31,INDEX('Data inputs'!$B$29:$G$39,MATCH($A44,'Data inputs'!$A$29:$A$39,0),MATCH($A$1,'Data inputs'!$B$28:$G$28,0)))</f>
        <v>8624778.8954689354</v>
      </c>
      <c r="I44" s="32">
        <f>IF($B16*$D16*I31&gt;0,$B16*$D16*I31,INDEX('Data inputs'!$B$29:$G$39,MATCH($A44,'Data inputs'!$A$29:$A$39,0),MATCH($A$1,'Data inputs'!$B$28:$G$28,0)))</f>
        <v>8624778.8954689354</v>
      </c>
      <c r="J44" s="32">
        <f>IF($B16*$D16*J31&gt;0,$B16*$D16*J31,INDEX('Data inputs'!$B$29:$G$39,MATCH($A44,'Data inputs'!$A$29:$A$39,0),MATCH($A$1,'Data inputs'!$B$28:$G$28,0)))</f>
        <v>8624778.8954689354</v>
      </c>
      <c r="K44" s="32">
        <f>IF($B16*$D16*K31&gt;0,$B16*$D16*K31,INDEX('Data inputs'!$B$29:$G$39,MATCH($A44,'Data inputs'!$A$29:$A$39,0),MATCH($A$1,'Data inputs'!$B$28:$G$28,0)))</f>
        <v>8624778.8954689354</v>
      </c>
      <c r="L44" s="5">
        <f t="shared" ref="L44:L54" si="27">AVERAGE(B44:K44)</f>
        <v>8624778.8954689354</v>
      </c>
      <c r="N44" s="5">
        <f t="shared" ref="N44:N54" si="28">INDEX(B44:K44,1,MATCH($N$43,$B$43:$K$43,0))</f>
        <v>8624778.8954689354</v>
      </c>
    </row>
    <row r="45" spans="1:14" x14ac:dyDescent="0.25">
      <c r="A45" s="4" t="s">
        <v>36</v>
      </c>
      <c r="B45" s="32">
        <f>IF($B17*$D17*B32&gt;0,$B17*$D17*B32,INDEX('Data inputs'!$B$29:$G$39,MATCH($A45,'Data inputs'!$A$29:$A$39,0),MATCH($A$1,'Data inputs'!$B$28:$G$28,0)))</f>
        <v>4727960.7639189819</v>
      </c>
      <c r="C45" s="32">
        <f>IF($B17*$D17*C32&gt;0,$B17*$D17*C32,INDEX('Data inputs'!$B$29:$G$39,MATCH($A45,'Data inputs'!$A$29:$A$39,0),MATCH($A$1,'Data inputs'!$B$28:$G$28,0)))</f>
        <v>4727960.7639189819</v>
      </c>
      <c r="D45" s="32">
        <f>IF($B17*$D17*D32&gt;0,$B17*$D17*D32,INDEX('Data inputs'!$B$29:$G$39,MATCH($A45,'Data inputs'!$A$29:$A$39,0),MATCH($A$1,'Data inputs'!$B$28:$G$28,0)))</f>
        <v>4727960.7639189819</v>
      </c>
      <c r="E45" s="32">
        <f>IF($B17*$D17*E32&gt;0,$B17*$D17*E32,INDEX('Data inputs'!$B$29:$G$39,MATCH($A45,'Data inputs'!$A$29:$A$39,0),MATCH($A$1,'Data inputs'!$B$28:$G$28,0)))</f>
        <v>4727960.7639189819</v>
      </c>
      <c r="F45" s="32">
        <f>IF($B17*$D17*F32&gt;0,$B17*$D17*F32,INDEX('Data inputs'!$B$29:$G$39,MATCH($A45,'Data inputs'!$A$29:$A$39,0),MATCH($A$1,'Data inputs'!$B$28:$G$28,0)))</f>
        <v>4727960.7639189819</v>
      </c>
      <c r="G45" s="32">
        <f>IF($B17*$D17*G32&gt;0,$B17*$D17*G32,INDEX('Data inputs'!$B$29:$G$39,MATCH($A45,'Data inputs'!$A$29:$A$39,0),MATCH($A$1,'Data inputs'!$B$28:$G$28,0)))</f>
        <v>4727960.7639189819</v>
      </c>
      <c r="H45" s="32">
        <f>IF($B17*$D17*H32&gt;0,$B17*$D17*H32,INDEX('Data inputs'!$B$29:$G$39,MATCH($A45,'Data inputs'!$A$29:$A$39,0),MATCH($A$1,'Data inputs'!$B$28:$G$28,0)))</f>
        <v>4727960.7639189819</v>
      </c>
      <c r="I45" s="32">
        <f>IF($B17*$D17*I32&gt;0,$B17*$D17*I32,INDEX('Data inputs'!$B$29:$G$39,MATCH($A45,'Data inputs'!$A$29:$A$39,0),MATCH($A$1,'Data inputs'!$B$28:$G$28,0)))</f>
        <v>4727960.7639189819</v>
      </c>
      <c r="J45" s="32">
        <f>IF($B17*$D17*J32&gt;0,$B17*$D17*J32,INDEX('Data inputs'!$B$29:$G$39,MATCH($A45,'Data inputs'!$A$29:$A$39,0),MATCH($A$1,'Data inputs'!$B$28:$G$28,0)))</f>
        <v>4727960.7639189819</v>
      </c>
      <c r="K45" s="32">
        <f>IF($B17*$D17*K32&gt;0,$B17*$D17*K32,INDEX('Data inputs'!$B$29:$G$39,MATCH($A45,'Data inputs'!$A$29:$A$39,0),MATCH($A$1,'Data inputs'!$B$28:$G$28,0)))</f>
        <v>4727960.7639189819</v>
      </c>
      <c r="L45" s="5">
        <f t="shared" si="27"/>
        <v>4727960.7639189819</v>
      </c>
      <c r="N45" s="5">
        <f t="shared" si="28"/>
        <v>4727960.7639189819</v>
      </c>
    </row>
    <row r="46" spans="1:14" x14ac:dyDescent="0.25">
      <c r="A46" s="4" t="s">
        <v>11</v>
      </c>
      <c r="B46" s="32">
        <f>IF($B18*$D18*B33&gt;0,$B18*$D18*B33,INDEX('Data inputs'!$B$29:$G$39,MATCH($A46,'Data inputs'!$A$29:$A$39,0),MATCH($A$1,'Data inputs'!$B$28:$G$28,0)))</f>
        <v>0</v>
      </c>
      <c r="C46" s="32">
        <f>IF($B18*$D18*C33&gt;0,$B18*$D18*C33,INDEX('Data inputs'!$B$29:$G$39,MATCH($A46,'Data inputs'!$A$29:$A$39,0),MATCH($A$1,'Data inputs'!$B$28:$G$28,0)))</f>
        <v>0</v>
      </c>
      <c r="D46" s="32">
        <f>IF($B18*$D18*D33&gt;0,$B18*$D18*D33,INDEX('Data inputs'!$B$29:$G$39,MATCH($A46,'Data inputs'!$A$29:$A$39,0),MATCH($A$1,'Data inputs'!$B$28:$G$28,0)))</f>
        <v>0</v>
      </c>
      <c r="E46" s="32">
        <f>IF($B18*$D18*E33&gt;0,$B18*$D18*E33,INDEX('Data inputs'!$B$29:$G$39,MATCH($A46,'Data inputs'!$A$29:$A$39,0),MATCH($A$1,'Data inputs'!$B$28:$G$28,0)))</f>
        <v>0</v>
      </c>
      <c r="F46" s="32">
        <f>IF($B18*$D18*F33&gt;0,$B18*$D18*F33,INDEX('Data inputs'!$B$29:$G$39,MATCH($A46,'Data inputs'!$A$29:$A$39,0),MATCH($A$1,'Data inputs'!$B$28:$G$28,0)))</f>
        <v>0</v>
      </c>
      <c r="G46" s="32">
        <f>IF($B18*$D18*G33&gt;0,$B18*$D18*G33,INDEX('Data inputs'!$B$29:$G$39,MATCH($A46,'Data inputs'!$A$29:$A$39,0),MATCH($A$1,'Data inputs'!$B$28:$G$28,0)))</f>
        <v>0</v>
      </c>
      <c r="H46" s="32">
        <f>IF($B18*$D18*H33&gt;0,$B18*$D18*H33,INDEX('Data inputs'!$B$29:$G$39,MATCH($A46,'Data inputs'!$A$29:$A$39,0),MATCH($A$1,'Data inputs'!$B$28:$G$28,0)))</f>
        <v>0</v>
      </c>
      <c r="I46" s="32">
        <f>IF($B18*$D18*I33&gt;0,$B18*$D18*I33,INDEX('Data inputs'!$B$29:$G$39,MATCH($A46,'Data inputs'!$A$29:$A$39,0),MATCH($A$1,'Data inputs'!$B$28:$G$28,0)))</f>
        <v>0</v>
      </c>
      <c r="J46" s="32">
        <f>IF($B18*$D18*J33&gt;0,$B18*$D18*J33,INDEX('Data inputs'!$B$29:$G$39,MATCH($A46,'Data inputs'!$A$29:$A$39,0),MATCH($A$1,'Data inputs'!$B$28:$G$28,0)))</f>
        <v>0</v>
      </c>
      <c r="K46" s="32">
        <f>IF($B18*$D18*K33&gt;0,$B18*$D18*K33,INDEX('Data inputs'!$B$29:$G$39,MATCH($A46,'Data inputs'!$A$29:$A$39,0),MATCH($A$1,'Data inputs'!$B$28:$G$28,0)))</f>
        <v>0</v>
      </c>
      <c r="L46" s="5">
        <f t="shared" si="27"/>
        <v>0</v>
      </c>
      <c r="N46" s="5">
        <f t="shared" si="28"/>
        <v>0</v>
      </c>
    </row>
    <row r="47" spans="1:14" x14ac:dyDescent="0.25">
      <c r="A47" s="4" t="s">
        <v>124</v>
      </c>
      <c r="B47" s="32">
        <f>IF($B19*$D19*B34&gt;0,$B19*$D19*B34,INDEX('Data inputs'!$B$29:$G$39,MATCH($A47,'Data inputs'!$A$29:$A$39,0),MATCH($A$1,'Data inputs'!$B$28:$G$28,0)))</f>
        <v>1267617.6570113443</v>
      </c>
      <c r="C47" s="32">
        <f>IF($B19*$D19*C34&gt;0,$B19*$D19*C34,INDEX('Data inputs'!$B$29:$G$39,MATCH($A47,'Data inputs'!$A$29:$A$39,0),MATCH($A$1,'Data inputs'!$B$28:$G$28,0)))</f>
        <v>1267617.6570113443</v>
      </c>
      <c r="D47" s="32">
        <f>IF($B19*$D19*D34&gt;0,$B19*$D19*D34,INDEX('Data inputs'!$B$29:$G$39,MATCH($A47,'Data inputs'!$A$29:$A$39,0),MATCH($A$1,'Data inputs'!$B$28:$G$28,0)))</f>
        <v>1267617.6570113443</v>
      </c>
      <c r="E47" s="32">
        <f>IF($B19*$D19*E34&gt;0,$B19*$D19*E34,INDEX('Data inputs'!$B$29:$G$39,MATCH($A47,'Data inputs'!$A$29:$A$39,0),MATCH($A$1,'Data inputs'!$B$28:$G$28,0)))</f>
        <v>1267617.6570113443</v>
      </c>
      <c r="F47" s="32">
        <f>IF($B19*$D19*F34&gt;0,$B19*$D19*F34,INDEX('Data inputs'!$B$29:$G$39,MATCH($A47,'Data inputs'!$A$29:$A$39,0),MATCH($A$1,'Data inputs'!$B$28:$G$28,0)))</f>
        <v>1267617.6570113443</v>
      </c>
      <c r="G47" s="32">
        <f>IF($B19*$D19*G34&gt;0,$B19*$D19*G34,INDEX('Data inputs'!$B$29:$G$39,MATCH($A47,'Data inputs'!$A$29:$A$39,0),MATCH($A$1,'Data inputs'!$B$28:$G$28,0)))</f>
        <v>1267617.6570113443</v>
      </c>
      <c r="H47" s="32">
        <f>IF($B19*$D19*H34&gt;0,$B19*$D19*H34,INDEX('Data inputs'!$B$29:$G$39,MATCH($A47,'Data inputs'!$A$29:$A$39,0),MATCH($A$1,'Data inputs'!$B$28:$G$28,0)))</f>
        <v>1267617.6570113443</v>
      </c>
      <c r="I47" s="32">
        <f>IF($B19*$D19*I34&gt;0,$B19*$D19*I34,INDEX('Data inputs'!$B$29:$G$39,MATCH($A47,'Data inputs'!$A$29:$A$39,0),MATCH($A$1,'Data inputs'!$B$28:$G$28,0)))</f>
        <v>1267617.6570113443</v>
      </c>
      <c r="J47" s="32">
        <f>IF($B19*$D19*J34&gt;0,$B19*$D19*J34,INDEX('Data inputs'!$B$29:$G$39,MATCH($A47,'Data inputs'!$A$29:$A$39,0),MATCH($A$1,'Data inputs'!$B$28:$G$28,0)))</f>
        <v>1267617.6570113443</v>
      </c>
      <c r="K47" s="32">
        <f>IF($B19*$D19*K34&gt;0,$B19*$D19*K34,INDEX('Data inputs'!$B$29:$G$39,MATCH($A47,'Data inputs'!$A$29:$A$39,0),MATCH($A$1,'Data inputs'!$B$28:$G$28,0)))</f>
        <v>1267617.6570113443</v>
      </c>
      <c r="L47" s="5">
        <f t="shared" si="27"/>
        <v>1267617.6570113446</v>
      </c>
      <c r="N47" s="5">
        <f t="shared" si="28"/>
        <v>1267617.6570113443</v>
      </c>
    </row>
    <row r="48" spans="1:14" x14ac:dyDescent="0.25">
      <c r="A48" s="4" t="s">
        <v>12</v>
      </c>
      <c r="B48" s="32">
        <f>IF($B20*$D20*B35&gt;0,$B20*$D20*B35,INDEX('Data inputs'!$B$29:$G$39,MATCH($A48,'Data inputs'!$A$29:$A$39,0),MATCH($A$1,'Data inputs'!$B$28:$G$28,0)))</f>
        <v>27188165.163215853</v>
      </c>
      <c r="C48" s="32">
        <f>IF($B20*$D20*C35&gt;0,$B20*$D20*C35,INDEX('Data inputs'!$B$29:$G$39,MATCH($A48,'Data inputs'!$A$29:$A$39,0),MATCH($A$1,'Data inputs'!$B$28:$G$28,0)))</f>
        <v>27188165.163215853</v>
      </c>
      <c r="D48" s="32">
        <f>IF($B20*$D20*D35&gt;0,$B20*$D20*D35,INDEX('Data inputs'!$B$29:$G$39,MATCH($A48,'Data inputs'!$A$29:$A$39,0),MATCH($A$1,'Data inputs'!$B$28:$G$28,0)))</f>
        <v>27188165.163215853</v>
      </c>
      <c r="E48" s="32">
        <f>IF($B20*$D20*E35&gt;0,$B20*$D20*E35,INDEX('Data inputs'!$B$29:$G$39,MATCH($A48,'Data inputs'!$A$29:$A$39,0),MATCH($A$1,'Data inputs'!$B$28:$G$28,0)))</f>
        <v>27188165.163215853</v>
      </c>
      <c r="F48" s="32">
        <f>IF($B20*$D20*F35&gt;0,$B20*$D20*F35,INDEX('Data inputs'!$B$29:$G$39,MATCH($A48,'Data inputs'!$A$29:$A$39,0),MATCH($A$1,'Data inputs'!$B$28:$G$28,0)))</f>
        <v>27188165.163215853</v>
      </c>
      <c r="G48" s="32">
        <f>IF($B20*$D20*G35&gt;0,$B20*$D20*G35,INDEX('Data inputs'!$B$29:$G$39,MATCH($A48,'Data inputs'!$A$29:$A$39,0),MATCH($A$1,'Data inputs'!$B$28:$G$28,0)))</f>
        <v>27188165.163215853</v>
      </c>
      <c r="H48" s="32">
        <f>IF($B20*$D20*H35&gt;0,$B20*$D20*H35,INDEX('Data inputs'!$B$29:$G$39,MATCH($A48,'Data inputs'!$A$29:$A$39,0),MATCH($A$1,'Data inputs'!$B$28:$G$28,0)))</f>
        <v>27188165.163215853</v>
      </c>
      <c r="I48" s="32">
        <f>IF($B20*$D20*I35&gt;0,$B20*$D20*I35,INDEX('Data inputs'!$B$29:$G$39,MATCH($A48,'Data inputs'!$A$29:$A$39,0),MATCH($A$1,'Data inputs'!$B$28:$G$28,0)))</f>
        <v>27188165.163215853</v>
      </c>
      <c r="J48" s="32">
        <f>IF($B20*$D20*J35&gt;0,$B20*$D20*J35,INDEX('Data inputs'!$B$29:$G$39,MATCH($A48,'Data inputs'!$A$29:$A$39,0),MATCH($A$1,'Data inputs'!$B$28:$G$28,0)))</f>
        <v>27188165.163215853</v>
      </c>
      <c r="K48" s="32">
        <f>IF($B20*$D20*K35&gt;0,$B20*$D20*K35,INDEX('Data inputs'!$B$29:$G$39,MATCH($A48,'Data inputs'!$A$29:$A$39,0),MATCH($A$1,'Data inputs'!$B$28:$G$28,0)))</f>
        <v>27188165.163215853</v>
      </c>
      <c r="L48" s="5">
        <f t="shared" si="27"/>
        <v>27188165.163215853</v>
      </c>
      <c r="N48" s="5">
        <f t="shared" si="28"/>
        <v>27188165.163215853</v>
      </c>
    </row>
    <row r="49" spans="1:14" x14ac:dyDescent="0.25">
      <c r="A49" s="4" t="s">
        <v>13</v>
      </c>
      <c r="B49" s="32">
        <f>IF($B21*$D21*B36&gt;0,$B21*$D21*B36,INDEX('Data inputs'!$B$29:$G$39,MATCH($A49,'Data inputs'!$A$29:$A$39,0),MATCH($A$1,'Data inputs'!$B$28:$G$28,0)))</f>
        <v>0</v>
      </c>
      <c r="C49" s="32">
        <f>IF($B21*$D21*C36&gt;0,$B21*$D21*C36,INDEX('Data inputs'!$B$29:$G$39,MATCH($A49,'Data inputs'!$A$29:$A$39,0),MATCH($A$1,'Data inputs'!$B$28:$G$28,0)))</f>
        <v>0</v>
      </c>
      <c r="D49" s="32">
        <f>IF($B21*$D21*D36&gt;0,$B21*$D21*D36,INDEX('Data inputs'!$B$29:$G$39,MATCH($A49,'Data inputs'!$A$29:$A$39,0),MATCH($A$1,'Data inputs'!$B$28:$G$28,0)))</f>
        <v>0</v>
      </c>
      <c r="E49" s="32">
        <f>IF($B21*$D21*E36&gt;0,$B21*$D21*E36,INDEX('Data inputs'!$B$29:$G$39,MATCH($A49,'Data inputs'!$A$29:$A$39,0),MATCH($A$1,'Data inputs'!$B$28:$G$28,0)))</f>
        <v>0</v>
      </c>
      <c r="F49" s="32">
        <f>IF($B21*$D21*F36&gt;0,$B21*$D21*F36,INDEX('Data inputs'!$B$29:$G$39,MATCH($A49,'Data inputs'!$A$29:$A$39,0),MATCH($A$1,'Data inputs'!$B$28:$G$28,0)))</f>
        <v>0</v>
      </c>
      <c r="G49" s="32">
        <f>IF($B21*$D21*G36&gt;0,$B21*$D21*G36,INDEX('Data inputs'!$B$29:$G$39,MATCH($A49,'Data inputs'!$A$29:$A$39,0),MATCH($A$1,'Data inputs'!$B$28:$G$28,0)))</f>
        <v>0</v>
      </c>
      <c r="H49" s="32">
        <f>IF($B21*$D21*H36&gt;0,$B21*$D21*H36,INDEX('Data inputs'!$B$29:$G$39,MATCH($A49,'Data inputs'!$A$29:$A$39,0),MATCH($A$1,'Data inputs'!$B$28:$G$28,0)))</f>
        <v>0</v>
      </c>
      <c r="I49" s="32">
        <f>IF($B21*$D21*I36&gt;0,$B21*$D21*I36,INDEX('Data inputs'!$B$29:$G$39,MATCH($A49,'Data inputs'!$A$29:$A$39,0),MATCH($A$1,'Data inputs'!$B$28:$G$28,0)))</f>
        <v>0</v>
      </c>
      <c r="J49" s="32">
        <f>IF($B21*$D21*J36&gt;0,$B21*$D21*J36,INDEX('Data inputs'!$B$29:$G$39,MATCH($A49,'Data inputs'!$A$29:$A$39,0),MATCH($A$1,'Data inputs'!$B$28:$G$28,0)))</f>
        <v>0</v>
      </c>
      <c r="K49" s="32">
        <f>IF($B21*$D21*K36&gt;0,$B21*$D21*K36,INDEX('Data inputs'!$B$29:$G$39,MATCH($A49,'Data inputs'!$A$29:$A$39,0),MATCH($A$1,'Data inputs'!$B$28:$G$28,0)))</f>
        <v>0</v>
      </c>
      <c r="L49" s="5">
        <f t="shared" si="27"/>
        <v>0</v>
      </c>
      <c r="N49" s="5">
        <f t="shared" si="28"/>
        <v>0</v>
      </c>
    </row>
    <row r="50" spans="1:14" x14ac:dyDescent="0.25">
      <c r="A50" s="4" t="s">
        <v>14</v>
      </c>
      <c r="B50" s="32">
        <f>IF($B22*$D22*B37&gt;0,$B22*$D22*B37,INDEX('Data inputs'!$B$29:$G$39,MATCH($A50,'Data inputs'!$A$29:$A$39,0),MATCH($A$1,'Data inputs'!$B$28:$G$28,0)))</f>
        <v>0</v>
      </c>
      <c r="C50" s="32">
        <f>IF($B22*$D22*C37&gt;0,$B22*$D22*C37,INDEX('Data inputs'!$B$29:$G$39,MATCH($A50,'Data inputs'!$A$29:$A$39,0),MATCH($A$1,'Data inputs'!$B$28:$G$28,0)))</f>
        <v>0</v>
      </c>
      <c r="D50" s="32">
        <f>IF($B22*$D22*D37&gt;0,$B22*$D22*D37,INDEX('Data inputs'!$B$29:$G$39,MATCH($A50,'Data inputs'!$A$29:$A$39,0),MATCH($A$1,'Data inputs'!$B$28:$G$28,0)))</f>
        <v>0</v>
      </c>
      <c r="E50" s="32">
        <f>IF($B22*$D22*E37&gt;0,$B22*$D22*E37,INDEX('Data inputs'!$B$29:$G$39,MATCH($A50,'Data inputs'!$A$29:$A$39,0),MATCH($A$1,'Data inputs'!$B$28:$G$28,0)))</f>
        <v>0</v>
      </c>
      <c r="F50" s="32">
        <f>IF($B22*$D22*F37&gt;0,$B22*$D22*F37,INDEX('Data inputs'!$B$29:$G$39,MATCH($A50,'Data inputs'!$A$29:$A$39,0),MATCH($A$1,'Data inputs'!$B$28:$G$28,0)))</f>
        <v>0</v>
      </c>
      <c r="G50" s="32">
        <f>IF($B22*$D22*G37&gt;0,$B22*$D22*G37,INDEX('Data inputs'!$B$29:$G$39,MATCH($A50,'Data inputs'!$A$29:$A$39,0),MATCH($A$1,'Data inputs'!$B$28:$G$28,0)))</f>
        <v>0</v>
      </c>
      <c r="H50" s="32">
        <f>IF($B22*$D22*H37&gt;0,$B22*$D22*H37,INDEX('Data inputs'!$B$29:$G$39,MATCH($A50,'Data inputs'!$A$29:$A$39,0),MATCH($A$1,'Data inputs'!$B$28:$G$28,0)))</f>
        <v>0</v>
      </c>
      <c r="I50" s="32">
        <f>IF($B22*$D22*I37&gt;0,$B22*$D22*I37,INDEX('Data inputs'!$B$29:$G$39,MATCH($A50,'Data inputs'!$A$29:$A$39,0),MATCH($A$1,'Data inputs'!$B$28:$G$28,0)))</f>
        <v>0</v>
      </c>
      <c r="J50" s="32">
        <f>IF($B22*$D22*J37&gt;0,$B22*$D22*J37,INDEX('Data inputs'!$B$29:$G$39,MATCH($A50,'Data inputs'!$A$29:$A$39,0),MATCH($A$1,'Data inputs'!$B$28:$G$28,0)))</f>
        <v>0</v>
      </c>
      <c r="K50" s="32">
        <f>IF($B22*$D22*K37&gt;0,$B22*$D22*K37,INDEX('Data inputs'!$B$29:$G$39,MATCH($A50,'Data inputs'!$A$29:$A$39,0),MATCH($A$1,'Data inputs'!$B$28:$G$28,0)))</f>
        <v>0</v>
      </c>
      <c r="L50" s="5">
        <f t="shared" si="27"/>
        <v>0</v>
      </c>
      <c r="N50" s="5">
        <f t="shared" si="28"/>
        <v>0</v>
      </c>
    </row>
    <row r="51" spans="1:14" x14ac:dyDescent="0.25">
      <c r="A51" s="4" t="s">
        <v>125</v>
      </c>
      <c r="B51" s="32">
        <f>IF($B23*$D23*B38&gt;0,$B23*$D23*B38,INDEX('Data inputs'!$B$29:$G$39,MATCH($A51,'Data inputs'!$A$29:$A$39,0),MATCH($A$1,'Data inputs'!$B$28:$G$28,0)))</f>
        <v>899159.83437524864</v>
      </c>
      <c r="C51" s="32">
        <f>IF($B23*$D23*C38&gt;0,$B23*$D23*C38,INDEX('Data inputs'!$B$29:$G$39,MATCH($A51,'Data inputs'!$A$29:$A$39,0),MATCH($A$1,'Data inputs'!$B$28:$G$28,0)))</f>
        <v>899159.83437524864</v>
      </c>
      <c r="D51" s="32">
        <f>IF($B23*$D23*D38&gt;0,$B23*$D23*D38,INDEX('Data inputs'!$B$29:$G$39,MATCH($A51,'Data inputs'!$A$29:$A$39,0),MATCH($A$1,'Data inputs'!$B$28:$G$28,0)))</f>
        <v>899159.83437524864</v>
      </c>
      <c r="E51" s="32">
        <f>IF($B23*$D23*E38&gt;0,$B23*$D23*E38,INDEX('Data inputs'!$B$29:$G$39,MATCH($A51,'Data inputs'!$A$29:$A$39,0),MATCH($A$1,'Data inputs'!$B$28:$G$28,0)))</f>
        <v>899159.83437524864</v>
      </c>
      <c r="F51" s="32">
        <f>IF($B23*$D23*F38&gt;0,$B23*$D23*F38,INDEX('Data inputs'!$B$29:$G$39,MATCH($A51,'Data inputs'!$A$29:$A$39,0),MATCH($A$1,'Data inputs'!$B$28:$G$28,0)))</f>
        <v>899159.83437524864</v>
      </c>
      <c r="G51" s="32">
        <f>IF($B23*$D23*G38&gt;0,$B23*$D23*G38,INDEX('Data inputs'!$B$29:$G$39,MATCH($A51,'Data inputs'!$A$29:$A$39,0),MATCH($A$1,'Data inputs'!$B$28:$G$28,0)))</f>
        <v>899159.83437524864</v>
      </c>
      <c r="H51" s="32">
        <f>IF($B23*$D23*H38&gt;0,$B23*$D23*H38,INDEX('Data inputs'!$B$29:$G$39,MATCH($A51,'Data inputs'!$A$29:$A$39,0),MATCH($A$1,'Data inputs'!$B$28:$G$28,0)))</f>
        <v>899159.83437524864</v>
      </c>
      <c r="I51" s="32">
        <f>IF($B23*$D23*I38&gt;0,$B23*$D23*I38,INDEX('Data inputs'!$B$29:$G$39,MATCH($A51,'Data inputs'!$A$29:$A$39,0),MATCH($A$1,'Data inputs'!$B$28:$G$28,0)))</f>
        <v>899159.83437524864</v>
      </c>
      <c r="J51" s="32">
        <f>IF($B23*$D23*J38&gt;0,$B23*$D23*J38,INDEX('Data inputs'!$B$29:$G$39,MATCH($A51,'Data inputs'!$A$29:$A$39,0),MATCH($A$1,'Data inputs'!$B$28:$G$28,0)))</f>
        <v>899159.83437524864</v>
      </c>
      <c r="K51" s="32">
        <f>IF($B23*$D23*K38&gt;0,$B23*$D23*K38,INDEX('Data inputs'!$B$29:$G$39,MATCH($A51,'Data inputs'!$A$29:$A$39,0),MATCH($A$1,'Data inputs'!$B$28:$G$28,0)))</f>
        <v>899159.83437524864</v>
      </c>
      <c r="L51" s="5">
        <f t="shared" si="27"/>
        <v>899159.83437524852</v>
      </c>
      <c r="N51" s="5">
        <f t="shared" si="28"/>
        <v>899159.83437524864</v>
      </c>
    </row>
    <row r="52" spans="1:14" x14ac:dyDescent="0.25">
      <c r="A52" s="4" t="s">
        <v>37</v>
      </c>
      <c r="B52" s="32">
        <f>IF($B24*$D24*B39&gt;0,$B24*$D24*B39,INDEX('Data inputs'!$B$29:$G$39,MATCH($A52,'Data inputs'!$A$29:$A$39,0),MATCH($A$1,'Data inputs'!$B$28:$G$28,0)))</f>
        <v>26154200.551459838</v>
      </c>
      <c r="C52" s="32">
        <f>IF($B24*$D24*C39&gt;0,$B24*$D24*C39,INDEX('Data inputs'!$B$29:$G$39,MATCH($A52,'Data inputs'!$A$29:$A$39,0),MATCH($A$1,'Data inputs'!$B$28:$G$28,0)))</f>
        <v>26154200.551459838</v>
      </c>
      <c r="D52" s="32">
        <f>IF($B24*$D24*D39&gt;0,$B24*$D24*D39,INDEX('Data inputs'!$B$29:$G$39,MATCH($A52,'Data inputs'!$A$29:$A$39,0),MATCH($A$1,'Data inputs'!$B$28:$G$28,0)))</f>
        <v>26154200.551459838</v>
      </c>
      <c r="E52" s="32">
        <f>IF($B24*$D24*E39&gt;0,$B24*$D24*E39,INDEX('Data inputs'!$B$29:$G$39,MATCH($A52,'Data inputs'!$A$29:$A$39,0),MATCH($A$1,'Data inputs'!$B$28:$G$28,0)))</f>
        <v>26154200.551459838</v>
      </c>
      <c r="F52" s="32">
        <f>IF($B24*$D24*F39&gt;0,$B24*$D24*F39,INDEX('Data inputs'!$B$29:$G$39,MATCH($A52,'Data inputs'!$A$29:$A$39,0),MATCH($A$1,'Data inputs'!$B$28:$G$28,0)))</f>
        <v>26154200.551459838</v>
      </c>
      <c r="G52" s="32">
        <f>IF($B24*$D24*G39&gt;0,$B24*$D24*G39,INDEX('Data inputs'!$B$29:$G$39,MATCH($A52,'Data inputs'!$A$29:$A$39,0),MATCH($A$1,'Data inputs'!$B$28:$G$28,0)))</f>
        <v>26154200.551459838</v>
      </c>
      <c r="H52" s="32">
        <f>IF($B24*$D24*H39&gt;0,$B24*$D24*H39,INDEX('Data inputs'!$B$29:$G$39,MATCH($A52,'Data inputs'!$A$29:$A$39,0),MATCH($A$1,'Data inputs'!$B$28:$G$28,0)))</f>
        <v>26154200.551459838</v>
      </c>
      <c r="I52" s="32">
        <f>IF($B24*$D24*I39&gt;0,$B24*$D24*I39,INDEX('Data inputs'!$B$29:$G$39,MATCH($A52,'Data inputs'!$A$29:$A$39,0),MATCH($A$1,'Data inputs'!$B$28:$G$28,0)))</f>
        <v>26154200.551459838</v>
      </c>
      <c r="J52" s="32">
        <f>IF($B24*$D24*J39&gt;0,$B24*$D24*J39,INDEX('Data inputs'!$B$29:$G$39,MATCH($A52,'Data inputs'!$A$29:$A$39,0),MATCH($A$1,'Data inputs'!$B$28:$G$28,0)))</f>
        <v>26154200.551459838</v>
      </c>
      <c r="K52" s="32">
        <f>IF($B24*$D24*K39&gt;0,$B24*$D24*K39,INDEX('Data inputs'!$B$29:$G$39,MATCH($A52,'Data inputs'!$A$29:$A$39,0),MATCH($A$1,'Data inputs'!$B$28:$G$28,0)))</f>
        <v>26154200.551459838</v>
      </c>
      <c r="L52" s="5">
        <f t="shared" si="27"/>
        <v>26154200.551459841</v>
      </c>
      <c r="N52" s="5">
        <f t="shared" si="28"/>
        <v>26154200.551459838</v>
      </c>
    </row>
    <row r="53" spans="1:14" x14ac:dyDescent="0.25">
      <c r="A53" s="4" t="s">
        <v>38</v>
      </c>
      <c r="B53" s="32">
        <f>IF($B25*$D25*B40&gt;0,$B25*$D25*B40,INDEX('Data inputs'!$B$29:$G$39,MATCH($A53,'Data inputs'!$A$29:$A$39,0),MATCH($A$1,'Data inputs'!$B$28:$G$28,0)))</f>
        <v>3506031.3836561032</v>
      </c>
      <c r="C53" s="32">
        <f>IF($B25*$D25*C40&gt;0,$B25*$D25*C40,INDEX('Data inputs'!$B$29:$G$39,MATCH($A53,'Data inputs'!$A$29:$A$39,0),MATCH($A$1,'Data inputs'!$B$28:$G$28,0)))</f>
        <v>3506031.3836561032</v>
      </c>
      <c r="D53" s="32">
        <f>IF($B25*$D25*D40&gt;0,$B25*$D25*D40,INDEX('Data inputs'!$B$29:$G$39,MATCH($A53,'Data inputs'!$A$29:$A$39,0),MATCH($A$1,'Data inputs'!$B$28:$G$28,0)))</f>
        <v>3506031.3836561032</v>
      </c>
      <c r="E53" s="32">
        <f>IF($B25*$D25*E40&gt;0,$B25*$D25*E40,INDEX('Data inputs'!$B$29:$G$39,MATCH($A53,'Data inputs'!$A$29:$A$39,0),MATCH($A$1,'Data inputs'!$B$28:$G$28,0)))</f>
        <v>3506031.3836561032</v>
      </c>
      <c r="F53" s="32">
        <f>IF($B25*$D25*F40&gt;0,$B25*$D25*F40,INDEX('Data inputs'!$B$29:$G$39,MATCH($A53,'Data inputs'!$A$29:$A$39,0),MATCH($A$1,'Data inputs'!$B$28:$G$28,0)))</f>
        <v>3506031.3836561032</v>
      </c>
      <c r="G53" s="32">
        <f>IF($B25*$D25*G40&gt;0,$B25*$D25*G40,INDEX('Data inputs'!$B$29:$G$39,MATCH($A53,'Data inputs'!$A$29:$A$39,0),MATCH($A$1,'Data inputs'!$B$28:$G$28,0)))</f>
        <v>3506031.3836561032</v>
      </c>
      <c r="H53" s="32">
        <f>IF($B25*$D25*H40&gt;0,$B25*$D25*H40,INDEX('Data inputs'!$B$29:$G$39,MATCH($A53,'Data inputs'!$A$29:$A$39,0),MATCH($A$1,'Data inputs'!$B$28:$G$28,0)))</f>
        <v>3506031.3836561032</v>
      </c>
      <c r="I53" s="32">
        <f>IF($B25*$D25*I40&gt;0,$B25*$D25*I40,INDEX('Data inputs'!$B$29:$G$39,MATCH($A53,'Data inputs'!$A$29:$A$39,0),MATCH($A$1,'Data inputs'!$B$28:$G$28,0)))</f>
        <v>3506031.3836561032</v>
      </c>
      <c r="J53" s="32">
        <f>IF($B25*$D25*J40&gt;0,$B25*$D25*J40,INDEX('Data inputs'!$B$29:$G$39,MATCH($A53,'Data inputs'!$A$29:$A$39,0),MATCH($A$1,'Data inputs'!$B$28:$G$28,0)))</f>
        <v>3506031.3836561032</v>
      </c>
      <c r="K53" s="32">
        <f>IF($B25*$D25*K40&gt;0,$B25*$D25*K40,INDEX('Data inputs'!$B$29:$G$39,MATCH($A53,'Data inputs'!$A$29:$A$39,0),MATCH($A$1,'Data inputs'!$B$28:$G$28,0)))</f>
        <v>3506031.3836561032</v>
      </c>
      <c r="L53" s="5">
        <f t="shared" si="27"/>
        <v>3506031.3836561032</v>
      </c>
      <c r="N53" s="5">
        <f t="shared" si="28"/>
        <v>3506031.3836561032</v>
      </c>
    </row>
    <row r="54" spans="1:14" x14ac:dyDescent="0.25">
      <c r="A54" s="4" t="s">
        <v>15</v>
      </c>
      <c r="B54" s="13">
        <f>IF($B26*$D26*B41&gt;0,$B26*$D26*B41,INDEX('Data inputs'!$B$29:$G$39,MATCH($A54,'Data inputs'!$A$29:$A$39,0),MATCH($A$1,'Data inputs'!$B$28:$G$28,0)))</f>
        <v>30333653.846353073</v>
      </c>
      <c r="C54" s="13">
        <f>IF($B26*$D26*C41&gt;0,$B26*$D26*C41,INDEX('Data inputs'!$B$29:$G$39,MATCH($A54,'Data inputs'!$A$29:$A$39,0),MATCH($A$1,'Data inputs'!$B$28:$G$28,0)))</f>
        <v>30333653.846353073</v>
      </c>
      <c r="D54" s="13">
        <f>IF($B26*$D26*D41&gt;0,$B26*$D26*D41,INDEX('Data inputs'!$B$29:$G$39,MATCH($A54,'Data inputs'!$A$29:$A$39,0),MATCH($A$1,'Data inputs'!$B$28:$G$28,0)))</f>
        <v>30333653.846353073</v>
      </c>
      <c r="E54" s="13">
        <f>IF($B26*$D26*E41&gt;0,$B26*$D26*E41,INDEX('Data inputs'!$B$29:$G$39,MATCH($A54,'Data inputs'!$A$29:$A$39,0),MATCH($A$1,'Data inputs'!$B$28:$G$28,0)))</f>
        <v>30333653.846353073</v>
      </c>
      <c r="F54" s="13">
        <f>IF($B26*$D26*F41&gt;0,$B26*$D26*F41,INDEX('Data inputs'!$B$29:$G$39,MATCH($A54,'Data inputs'!$A$29:$A$39,0),MATCH($A$1,'Data inputs'!$B$28:$G$28,0)))</f>
        <v>30333653.846353073</v>
      </c>
      <c r="G54" s="13">
        <f>IF($B26*$D26*G41&gt;0,$B26*$D26*G41,INDEX('Data inputs'!$B$29:$G$39,MATCH($A54,'Data inputs'!$A$29:$A$39,0),MATCH($A$1,'Data inputs'!$B$28:$G$28,0)))</f>
        <v>30333653.846353073</v>
      </c>
      <c r="H54" s="13">
        <f>IF($B26*$D26*H41&gt;0,$B26*$D26*H41,INDEX('Data inputs'!$B$29:$G$39,MATCH($A54,'Data inputs'!$A$29:$A$39,0),MATCH($A$1,'Data inputs'!$B$28:$G$28,0)))</f>
        <v>30333653.846353073</v>
      </c>
      <c r="I54" s="13">
        <f>IF($B26*$D26*I41&gt;0,$B26*$D26*I41,INDEX('Data inputs'!$B$29:$G$39,MATCH($A54,'Data inputs'!$A$29:$A$39,0),MATCH($A$1,'Data inputs'!$B$28:$G$28,0)))</f>
        <v>30333653.846353073</v>
      </c>
      <c r="J54" s="13">
        <f>IF($B26*$D26*J41&gt;0,$B26*$D26*J41,INDEX('Data inputs'!$B$29:$G$39,MATCH($A54,'Data inputs'!$A$29:$A$39,0),MATCH($A$1,'Data inputs'!$B$28:$G$28,0)))</f>
        <v>30333653.846353073</v>
      </c>
      <c r="K54" s="13">
        <f>IF($B26*$D26*K41&gt;0,$B26*$D26*K41,INDEX('Data inputs'!$B$29:$G$39,MATCH($A54,'Data inputs'!$A$29:$A$39,0),MATCH($A$1,'Data inputs'!$B$28:$G$28,0)))</f>
        <v>30333653.846353073</v>
      </c>
      <c r="L54" s="5">
        <f t="shared" si="27"/>
        <v>30333653.846353073</v>
      </c>
      <c r="N54" s="5">
        <f t="shared" si="28"/>
        <v>30333653.846353073</v>
      </c>
    </row>
    <row r="55" spans="1:14" x14ac:dyDescent="0.25">
      <c r="B55" s="5">
        <f t="shared" ref="B55:K55" si="29">SUM(B44:B54)</f>
        <v>102701568.09545937</v>
      </c>
      <c r="C55" s="5">
        <f t="shared" si="29"/>
        <v>102701568.09545937</v>
      </c>
      <c r="D55" s="5">
        <f t="shared" si="29"/>
        <v>102701568.09545937</v>
      </c>
      <c r="E55" s="5">
        <f t="shared" si="29"/>
        <v>102701568.09545937</v>
      </c>
      <c r="F55" s="5">
        <f t="shared" si="29"/>
        <v>102701568.09545937</v>
      </c>
      <c r="G55" s="5">
        <f t="shared" si="29"/>
        <v>102701568.09545937</v>
      </c>
      <c r="H55" s="5">
        <f t="shared" si="29"/>
        <v>102701568.09545937</v>
      </c>
      <c r="I55" s="5">
        <f t="shared" si="29"/>
        <v>102701568.09545937</v>
      </c>
      <c r="J55" s="5">
        <f t="shared" si="29"/>
        <v>102701568.09545937</v>
      </c>
      <c r="K55" s="5">
        <f t="shared" si="29"/>
        <v>102701568.09545937</v>
      </c>
      <c r="L55" s="5"/>
    </row>
    <row r="56" spans="1:14" x14ac:dyDescent="0.25">
      <c r="B56" s="5"/>
      <c r="C56" s="5"/>
      <c r="D56" s="5"/>
      <c r="E56" s="5"/>
      <c r="F56" s="5"/>
      <c r="G56" s="5"/>
      <c r="H56" s="5"/>
      <c r="I56" s="5"/>
      <c r="J56" s="5"/>
      <c r="K56" s="5"/>
      <c r="L56" s="5"/>
    </row>
    <row r="57" spans="1:14" s="1" customFormat="1" ht="30" x14ac:dyDescent="0.25">
      <c r="A57" s="15" t="s">
        <v>56</v>
      </c>
      <c r="B57" s="12" t="str">
        <f>'Summary dashboard'!C4</f>
        <v>2023</v>
      </c>
      <c r="C57" s="12">
        <f t="shared" ref="C57:K57" si="30">B57+1</f>
        <v>2024</v>
      </c>
      <c r="D57" s="12">
        <f t="shared" si="30"/>
        <v>2025</v>
      </c>
      <c r="E57" s="12">
        <f t="shared" si="30"/>
        <v>2026</v>
      </c>
      <c r="F57" s="12">
        <f t="shared" si="30"/>
        <v>2027</v>
      </c>
      <c r="G57" s="12">
        <f t="shared" si="30"/>
        <v>2028</v>
      </c>
      <c r="H57" s="12">
        <f t="shared" si="30"/>
        <v>2029</v>
      </c>
      <c r="I57" s="12">
        <f t="shared" si="30"/>
        <v>2030</v>
      </c>
      <c r="J57" s="12">
        <f t="shared" si="30"/>
        <v>2031</v>
      </c>
      <c r="K57" s="12">
        <f t="shared" si="30"/>
        <v>2032</v>
      </c>
      <c r="L57" s="1" t="s">
        <v>28</v>
      </c>
    </row>
    <row r="58" spans="1:14" x14ac:dyDescent="0.25">
      <c r="A58" s="4" t="s">
        <v>35</v>
      </c>
      <c r="B58" s="5">
        <f>B44*'Data inputs'!$B14</f>
        <v>6641079.7495110808</v>
      </c>
      <c r="C58" s="5">
        <f>C44*'Data inputs'!$B14</f>
        <v>6641079.7495110808</v>
      </c>
      <c r="D58" s="5">
        <f>D44*'Data inputs'!$B14</f>
        <v>6641079.7495110808</v>
      </c>
      <c r="E58" s="5">
        <f>E44*'Data inputs'!$B14</f>
        <v>6641079.7495110808</v>
      </c>
      <c r="F58" s="5">
        <f>F44*'Data inputs'!$B14</f>
        <v>6641079.7495110808</v>
      </c>
      <c r="G58" s="5">
        <f>G44*'Data inputs'!$B14</f>
        <v>6641079.7495110808</v>
      </c>
      <c r="H58" s="5">
        <f>H44*'Data inputs'!$B14</f>
        <v>6641079.7495110808</v>
      </c>
      <c r="I58" s="5">
        <f>I44*'Data inputs'!$B14</f>
        <v>6641079.7495110808</v>
      </c>
      <c r="J58" s="5">
        <f>J44*'Data inputs'!$B14</f>
        <v>6641079.7495110808</v>
      </c>
      <c r="K58" s="5">
        <f>K44*'Data inputs'!$B14</f>
        <v>6641079.7495110808</v>
      </c>
      <c r="L58" s="5">
        <f t="shared" ref="L58:L68" si="31">AVERAGE(B58:K58)</f>
        <v>6641079.7495110799</v>
      </c>
    </row>
    <row r="59" spans="1:14" x14ac:dyDescent="0.25">
      <c r="A59" s="4" t="s">
        <v>36</v>
      </c>
      <c r="B59" s="5">
        <f>B45*'Data inputs'!$B15</f>
        <v>1418388.2291756948</v>
      </c>
      <c r="C59" s="5">
        <f>C45*'Data inputs'!$B15</f>
        <v>1418388.2291756948</v>
      </c>
      <c r="D59" s="5">
        <f>D45*'Data inputs'!$B15</f>
        <v>1418388.2291756948</v>
      </c>
      <c r="E59" s="5">
        <f>E45*'Data inputs'!$B15</f>
        <v>1418388.2291756948</v>
      </c>
      <c r="F59" s="5">
        <f>F45*'Data inputs'!$B15</f>
        <v>1418388.2291756948</v>
      </c>
      <c r="G59" s="5">
        <f>G45*'Data inputs'!$B15</f>
        <v>1418388.2291756948</v>
      </c>
      <c r="H59" s="5">
        <f>H45*'Data inputs'!$B15</f>
        <v>1418388.2291756948</v>
      </c>
      <c r="I59" s="5">
        <f>I45*'Data inputs'!$B15</f>
        <v>1418388.2291756948</v>
      </c>
      <c r="J59" s="5">
        <f>J45*'Data inputs'!$B15</f>
        <v>1418388.2291756948</v>
      </c>
      <c r="K59" s="5">
        <f>K45*'Data inputs'!$B15</f>
        <v>1418388.2291756948</v>
      </c>
      <c r="L59" s="5">
        <f t="shared" si="31"/>
        <v>1418388.2291756945</v>
      </c>
    </row>
    <row r="60" spans="1:14" x14ac:dyDescent="0.25">
      <c r="A60" s="4" t="s">
        <v>11</v>
      </c>
      <c r="B60" s="5">
        <f>B46*'Data inputs'!$B16</f>
        <v>0</v>
      </c>
      <c r="C60" s="5">
        <f>C46*'Data inputs'!$B16</f>
        <v>0</v>
      </c>
      <c r="D60" s="5">
        <f>D46*'Data inputs'!$B16</f>
        <v>0</v>
      </c>
      <c r="E60" s="5">
        <f>E46*'Data inputs'!$B16</f>
        <v>0</v>
      </c>
      <c r="F60" s="5">
        <f>F46*'Data inputs'!$B16</f>
        <v>0</v>
      </c>
      <c r="G60" s="5">
        <f>G46*'Data inputs'!$B16</f>
        <v>0</v>
      </c>
      <c r="H60" s="5">
        <f>H46*'Data inputs'!$B16</f>
        <v>0</v>
      </c>
      <c r="I60" s="5">
        <f>I46*'Data inputs'!$B16</f>
        <v>0</v>
      </c>
      <c r="J60" s="5">
        <f>J46*'Data inputs'!$B16</f>
        <v>0</v>
      </c>
      <c r="K60" s="5">
        <f>K46*'Data inputs'!$B16</f>
        <v>0</v>
      </c>
      <c r="L60" s="5">
        <f t="shared" si="31"/>
        <v>0</v>
      </c>
    </row>
    <row r="61" spans="1:14" x14ac:dyDescent="0.25">
      <c r="A61" s="4" t="s">
        <v>124</v>
      </c>
      <c r="B61" s="5">
        <f>B47*'Data inputs'!$B17</f>
        <v>1014094.1256090754</v>
      </c>
      <c r="C61" s="5">
        <f>C47*'Data inputs'!$B17</f>
        <v>1014094.1256090754</v>
      </c>
      <c r="D61" s="5">
        <f>D47*'Data inputs'!$B17</f>
        <v>1014094.1256090754</v>
      </c>
      <c r="E61" s="5">
        <f>E47*'Data inputs'!$B17</f>
        <v>1014094.1256090754</v>
      </c>
      <c r="F61" s="5">
        <f>F47*'Data inputs'!$B17</f>
        <v>1014094.1256090754</v>
      </c>
      <c r="G61" s="5">
        <f>G47*'Data inputs'!$B17</f>
        <v>1014094.1256090754</v>
      </c>
      <c r="H61" s="5">
        <f>H47*'Data inputs'!$B17</f>
        <v>1014094.1256090754</v>
      </c>
      <c r="I61" s="5">
        <f>I47*'Data inputs'!$B17</f>
        <v>1014094.1256090754</v>
      </c>
      <c r="J61" s="5">
        <f>J47*'Data inputs'!$B17</f>
        <v>1014094.1256090754</v>
      </c>
      <c r="K61" s="5">
        <f>K47*'Data inputs'!$B17</f>
        <v>1014094.1256090754</v>
      </c>
      <c r="L61" s="5">
        <f t="shared" si="31"/>
        <v>1014094.1256090754</v>
      </c>
    </row>
    <row r="62" spans="1:14" x14ac:dyDescent="0.25">
      <c r="A62" s="4" t="s">
        <v>12</v>
      </c>
      <c r="B62" s="5">
        <f>B48*'Data inputs'!$B18</f>
        <v>2718816.5163215855</v>
      </c>
      <c r="C62" s="5">
        <f>C48*'Data inputs'!$B18</f>
        <v>2718816.5163215855</v>
      </c>
      <c r="D62" s="5">
        <f>D48*'Data inputs'!$B18</f>
        <v>2718816.5163215855</v>
      </c>
      <c r="E62" s="5">
        <f>E48*'Data inputs'!$B18</f>
        <v>2718816.5163215855</v>
      </c>
      <c r="F62" s="5">
        <f>F48*'Data inputs'!$B18</f>
        <v>2718816.5163215855</v>
      </c>
      <c r="G62" s="5">
        <f>G48*'Data inputs'!$B18</f>
        <v>2718816.5163215855</v>
      </c>
      <c r="H62" s="5">
        <f>H48*'Data inputs'!$B18</f>
        <v>2718816.5163215855</v>
      </c>
      <c r="I62" s="5">
        <f>I48*'Data inputs'!$B18</f>
        <v>2718816.5163215855</v>
      </c>
      <c r="J62" s="5">
        <f>J48*'Data inputs'!$B18</f>
        <v>2718816.5163215855</v>
      </c>
      <c r="K62" s="5">
        <f>K48*'Data inputs'!$B18</f>
        <v>2718816.5163215855</v>
      </c>
      <c r="L62" s="5">
        <f t="shared" si="31"/>
        <v>2718816.516321585</v>
      </c>
    </row>
    <row r="63" spans="1:14" x14ac:dyDescent="0.25">
      <c r="A63" s="4" t="s">
        <v>13</v>
      </c>
      <c r="B63" s="5">
        <f>B49*'Data inputs'!$B19</f>
        <v>0</v>
      </c>
      <c r="C63" s="5">
        <f>C49*'Data inputs'!$B19</f>
        <v>0</v>
      </c>
      <c r="D63" s="5">
        <f>D49*'Data inputs'!$B19</f>
        <v>0</v>
      </c>
      <c r="E63" s="5">
        <f>E49*'Data inputs'!$B19</f>
        <v>0</v>
      </c>
      <c r="F63" s="5">
        <f>F49*'Data inputs'!$B19</f>
        <v>0</v>
      </c>
      <c r="G63" s="5">
        <f>G49*'Data inputs'!$B19</f>
        <v>0</v>
      </c>
      <c r="H63" s="5">
        <f>H49*'Data inputs'!$B19</f>
        <v>0</v>
      </c>
      <c r="I63" s="5">
        <f>I49*'Data inputs'!$B19</f>
        <v>0</v>
      </c>
      <c r="J63" s="5">
        <f>J49*'Data inputs'!$B19</f>
        <v>0</v>
      </c>
      <c r="K63" s="5">
        <f>K49*'Data inputs'!$B19</f>
        <v>0</v>
      </c>
      <c r="L63" s="5">
        <f t="shared" si="31"/>
        <v>0</v>
      </c>
    </row>
    <row r="64" spans="1:14" x14ac:dyDescent="0.25">
      <c r="A64" s="4" t="s">
        <v>14</v>
      </c>
      <c r="B64" s="5">
        <f>B50*'Data inputs'!$B20</f>
        <v>0</v>
      </c>
      <c r="C64" s="5">
        <f>C50*'Data inputs'!$B20</f>
        <v>0</v>
      </c>
      <c r="D64" s="5">
        <f>D50*'Data inputs'!$B20</f>
        <v>0</v>
      </c>
      <c r="E64" s="5">
        <f>E50*'Data inputs'!$B20</f>
        <v>0</v>
      </c>
      <c r="F64" s="5">
        <f>F50*'Data inputs'!$B20</f>
        <v>0</v>
      </c>
      <c r="G64" s="5">
        <f>G50*'Data inputs'!$B20</f>
        <v>0</v>
      </c>
      <c r="H64" s="5">
        <f>H50*'Data inputs'!$B20</f>
        <v>0</v>
      </c>
      <c r="I64" s="5">
        <f>I50*'Data inputs'!$B20</f>
        <v>0</v>
      </c>
      <c r="J64" s="5">
        <f>J50*'Data inputs'!$B20</f>
        <v>0</v>
      </c>
      <c r="K64" s="5">
        <f>K50*'Data inputs'!$B20</f>
        <v>0</v>
      </c>
      <c r="L64" s="5">
        <f t="shared" si="31"/>
        <v>0</v>
      </c>
    </row>
    <row r="65" spans="1:12" x14ac:dyDescent="0.25">
      <c r="A65" s="4" t="s">
        <v>125</v>
      </c>
      <c r="B65" s="5">
        <f>B51*'Data inputs'!$B21</f>
        <v>719327.86750019889</v>
      </c>
      <c r="C65" s="5">
        <f>C51*'Data inputs'!$B21</f>
        <v>719327.86750019889</v>
      </c>
      <c r="D65" s="5">
        <f>D51*'Data inputs'!$B21</f>
        <v>719327.86750019889</v>
      </c>
      <c r="E65" s="5">
        <f>E51*'Data inputs'!$B21</f>
        <v>719327.86750019889</v>
      </c>
      <c r="F65" s="5">
        <f>F51*'Data inputs'!$B21</f>
        <v>719327.86750019889</v>
      </c>
      <c r="G65" s="5">
        <f>G51*'Data inputs'!$B21</f>
        <v>719327.86750019889</v>
      </c>
      <c r="H65" s="5">
        <f>H51*'Data inputs'!$B21</f>
        <v>719327.86750019889</v>
      </c>
      <c r="I65" s="5">
        <f>I51*'Data inputs'!$B21</f>
        <v>719327.86750019889</v>
      </c>
      <c r="J65" s="5">
        <f>J51*'Data inputs'!$B21</f>
        <v>719327.86750019889</v>
      </c>
      <c r="K65" s="5">
        <f>K51*'Data inputs'!$B21</f>
        <v>719327.86750019889</v>
      </c>
      <c r="L65" s="5">
        <f t="shared" si="31"/>
        <v>719327.86750019889</v>
      </c>
    </row>
    <row r="66" spans="1:12" x14ac:dyDescent="0.25">
      <c r="A66" s="4" t="s">
        <v>37</v>
      </c>
      <c r="B66" s="5">
        <f>B52*'Data inputs'!$B22</f>
        <v>16477146.347419698</v>
      </c>
      <c r="C66" s="5">
        <f>C52*'Data inputs'!$B22</f>
        <v>16477146.347419698</v>
      </c>
      <c r="D66" s="5">
        <f>D52*'Data inputs'!$B22</f>
        <v>16477146.347419698</v>
      </c>
      <c r="E66" s="5">
        <f>E52*'Data inputs'!$B22</f>
        <v>16477146.347419698</v>
      </c>
      <c r="F66" s="5">
        <f>F52*'Data inputs'!$B22</f>
        <v>16477146.347419698</v>
      </c>
      <c r="G66" s="5">
        <f>G52*'Data inputs'!$B22</f>
        <v>16477146.347419698</v>
      </c>
      <c r="H66" s="5">
        <f>H52*'Data inputs'!$B22</f>
        <v>16477146.347419698</v>
      </c>
      <c r="I66" s="5">
        <f>I52*'Data inputs'!$B22</f>
        <v>16477146.347419698</v>
      </c>
      <c r="J66" s="5">
        <f>J52*'Data inputs'!$B22</f>
        <v>16477146.347419698</v>
      </c>
      <c r="K66" s="5">
        <f>K52*'Data inputs'!$B22</f>
        <v>16477146.347419698</v>
      </c>
      <c r="L66" s="5">
        <f t="shared" si="31"/>
        <v>16477146.347419698</v>
      </c>
    </row>
    <row r="67" spans="1:12" x14ac:dyDescent="0.25">
      <c r="A67" s="4" t="s">
        <v>38</v>
      </c>
      <c r="B67" s="5">
        <f>B53*'Data inputs'!$B23</f>
        <v>350603.13836561033</v>
      </c>
      <c r="C67" s="5">
        <f>C53*'Data inputs'!$B23</f>
        <v>350603.13836561033</v>
      </c>
      <c r="D67" s="5">
        <f>D53*'Data inputs'!$B23</f>
        <v>350603.13836561033</v>
      </c>
      <c r="E67" s="5">
        <f>E53*'Data inputs'!$B23</f>
        <v>350603.13836561033</v>
      </c>
      <c r="F67" s="5">
        <f>F53*'Data inputs'!$B23</f>
        <v>350603.13836561033</v>
      </c>
      <c r="G67" s="5">
        <f>G53*'Data inputs'!$B23</f>
        <v>350603.13836561033</v>
      </c>
      <c r="H67" s="5">
        <f>H53*'Data inputs'!$B23</f>
        <v>350603.13836561033</v>
      </c>
      <c r="I67" s="5">
        <f>I53*'Data inputs'!$B23</f>
        <v>350603.13836561033</v>
      </c>
      <c r="J67" s="5">
        <f>J53*'Data inputs'!$B23</f>
        <v>350603.13836561033</v>
      </c>
      <c r="K67" s="5">
        <f>K53*'Data inputs'!$B23</f>
        <v>350603.13836561033</v>
      </c>
      <c r="L67" s="5">
        <f t="shared" si="31"/>
        <v>350603.13836561039</v>
      </c>
    </row>
    <row r="68" spans="1:12" x14ac:dyDescent="0.25">
      <c r="A68" s="4" t="s">
        <v>15</v>
      </c>
      <c r="B68" s="13">
        <f>B54*'Data inputs'!$B24</f>
        <v>12133461.538541229</v>
      </c>
      <c r="C68" s="13">
        <f>C54*'Data inputs'!$B24</f>
        <v>12133461.538541229</v>
      </c>
      <c r="D68" s="13">
        <f>D54*'Data inputs'!$B24</f>
        <v>12133461.538541229</v>
      </c>
      <c r="E68" s="13">
        <f>E54*'Data inputs'!$B24</f>
        <v>12133461.538541229</v>
      </c>
      <c r="F68" s="13">
        <f>F54*'Data inputs'!$B24</f>
        <v>12133461.538541229</v>
      </c>
      <c r="G68" s="13">
        <f>G54*'Data inputs'!$B24</f>
        <v>12133461.538541229</v>
      </c>
      <c r="H68" s="13">
        <f>H54*'Data inputs'!$B24</f>
        <v>12133461.538541229</v>
      </c>
      <c r="I68" s="13">
        <f>I54*'Data inputs'!$B24</f>
        <v>12133461.538541229</v>
      </c>
      <c r="J68" s="13">
        <f>J54*'Data inputs'!$B24</f>
        <v>12133461.538541229</v>
      </c>
      <c r="K68" s="13">
        <f>K54*'Data inputs'!$B24</f>
        <v>12133461.538541229</v>
      </c>
      <c r="L68" s="5">
        <f t="shared" si="31"/>
        <v>12133461.538541229</v>
      </c>
    </row>
    <row r="69" spans="1:12" x14ac:dyDescent="0.25">
      <c r="B69" s="5">
        <f t="shared" ref="B69:K69" si="32">SUM(B58:B68)</f>
        <v>41472917.512444176</v>
      </c>
      <c r="C69" s="5">
        <f t="shared" si="32"/>
        <v>41472917.512444176</v>
      </c>
      <c r="D69" s="5">
        <f t="shared" si="32"/>
        <v>41472917.512444176</v>
      </c>
      <c r="E69" s="5">
        <f t="shared" si="32"/>
        <v>41472917.512444176</v>
      </c>
      <c r="F69" s="5">
        <f t="shared" si="32"/>
        <v>41472917.512444176</v>
      </c>
      <c r="G69" s="5">
        <f t="shared" si="32"/>
        <v>41472917.512444176</v>
      </c>
      <c r="H69" s="5">
        <f t="shared" si="32"/>
        <v>41472917.512444176</v>
      </c>
      <c r="I69" s="5">
        <f t="shared" si="32"/>
        <v>41472917.512444176</v>
      </c>
      <c r="J69" s="5">
        <f t="shared" si="32"/>
        <v>41472917.512444176</v>
      </c>
      <c r="K69" s="5">
        <f t="shared" si="32"/>
        <v>41472917.512444176</v>
      </c>
      <c r="L69" s="5"/>
    </row>
    <row r="72" spans="1:12" ht="30" x14ac:dyDescent="0.25">
      <c r="A72" s="15" t="s">
        <v>57</v>
      </c>
      <c r="B72" s="12" t="str">
        <f>'Summary dashboard'!C4</f>
        <v>2023</v>
      </c>
      <c r="C72" s="12">
        <f t="shared" ref="C72:K72" si="33">B57+1</f>
        <v>2024</v>
      </c>
      <c r="D72" s="12">
        <f t="shared" si="33"/>
        <v>2025</v>
      </c>
      <c r="E72" s="12">
        <f t="shared" si="33"/>
        <v>2026</v>
      </c>
      <c r="F72" s="12">
        <f t="shared" si="33"/>
        <v>2027</v>
      </c>
      <c r="G72" s="12">
        <f t="shared" si="33"/>
        <v>2028</v>
      </c>
      <c r="H72" s="12">
        <f t="shared" si="33"/>
        <v>2029</v>
      </c>
      <c r="I72" s="12">
        <f t="shared" si="33"/>
        <v>2030</v>
      </c>
      <c r="J72" s="12">
        <f t="shared" si="33"/>
        <v>2031</v>
      </c>
      <c r="K72" s="12">
        <f t="shared" si="33"/>
        <v>2032</v>
      </c>
      <c r="L72" s="1" t="s">
        <v>28</v>
      </c>
    </row>
    <row r="73" spans="1:12" x14ac:dyDescent="0.25">
      <c r="A73" s="4" t="s">
        <v>35</v>
      </c>
      <c r="B73" s="5">
        <f>B44*'Data inputs'!$C14</f>
        <v>4916123.9704172937</v>
      </c>
      <c r="C73" s="5">
        <f>C44*'Data inputs'!$C14</f>
        <v>4916123.9704172937</v>
      </c>
      <c r="D73" s="5">
        <f>D44*'Data inputs'!$C14</f>
        <v>4916123.9704172937</v>
      </c>
      <c r="E73" s="5">
        <f>E44*'Data inputs'!$C14</f>
        <v>4916123.9704172937</v>
      </c>
      <c r="F73" s="5">
        <f>F44*'Data inputs'!$C14</f>
        <v>4916123.9704172937</v>
      </c>
      <c r="G73" s="5">
        <f>G44*'Data inputs'!$C14</f>
        <v>4916123.9704172937</v>
      </c>
      <c r="H73" s="5">
        <f>H44*'Data inputs'!$C14</f>
        <v>4916123.9704172937</v>
      </c>
      <c r="I73" s="5">
        <f>I44*'Data inputs'!$C14</f>
        <v>4916123.9704172937</v>
      </c>
      <c r="J73" s="5">
        <f>J44*'Data inputs'!$C14</f>
        <v>4916123.9704172937</v>
      </c>
      <c r="K73" s="5">
        <f>K44*'Data inputs'!$C14</f>
        <v>4916123.9704172937</v>
      </c>
      <c r="L73" s="5">
        <f>AVERAGE(B73:K73)</f>
        <v>4916123.9704172928</v>
      </c>
    </row>
    <row r="74" spans="1:12" x14ac:dyDescent="0.25">
      <c r="A74" s="4" t="s">
        <v>36</v>
      </c>
      <c r="B74" s="5">
        <f>B45*'Data inputs'!$C15</f>
        <v>472796.07639189821</v>
      </c>
      <c r="C74" s="5">
        <f>C45*'Data inputs'!$C15</f>
        <v>472796.07639189821</v>
      </c>
      <c r="D74" s="5">
        <f>D45*'Data inputs'!$C15</f>
        <v>472796.07639189821</v>
      </c>
      <c r="E74" s="5">
        <f>E45*'Data inputs'!$C15</f>
        <v>472796.07639189821</v>
      </c>
      <c r="F74" s="5">
        <f>F45*'Data inputs'!$C15</f>
        <v>472796.07639189821</v>
      </c>
      <c r="G74" s="5">
        <f>G45*'Data inputs'!$C15</f>
        <v>472796.07639189821</v>
      </c>
      <c r="H74" s="5">
        <f>H45*'Data inputs'!$C15</f>
        <v>472796.07639189821</v>
      </c>
      <c r="I74" s="5">
        <f>I45*'Data inputs'!$C15</f>
        <v>472796.07639189821</v>
      </c>
      <c r="J74" s="5">
        <f>J45*'Data inputs'!$C15</f>
        <v>472796.07639189821</v>
      </c>
      <c r="K74" s="5">
        <f>K45*'Data inputs'!$C15</f>
        <v>472796.07639189821</v>
      </c>
      <c r="L74" s="5">
        <f t="shared" ref="L74:L83" si="34">AVERAGE(B74:K74)</f>
        <v>472796.07639189821</v>
      </c>
    </row>
    <row r="75" spans="1:12" x14ac:dyDescent="0.25">
      <c r="A75" s="4" t="s">
        <v>11</v>
      </c>
      <c r="B75" s="5">
        <f>B46*'Data inputs'!$C16</f>
        <v>0</v>
      </c>
      <c r="C75" s="5">
        <f>C46*'Data inputs'!$C16</f>
        <v>0</v>
      </c>
      <c r="D75" s="5">
        <f>D46*'Data inputs'!$C16</f>
        <v>0</v>
      </c>
      <c r="E75" s="5">
        <f>E46*'Data inputs'!$C16</f>
        <v>0</v>
      </c>
      <c r="F75" s="5">
        <f>F46*'Data inputs'!$C16</f>
        <v>0</v>
      </c>
      <c r="G75" s="5">
        <f>G46*'Data inputs'!$C16</f>
        <v>0</v>
      </c>
      <c r="H75" s="5">
        <f>H46*'Data inputs'!$C16</f>
        <v>0</v>
      </c>
      <c r="I75" s="5">
        <f>I46*'Data inputs'!$C16</f>
        <v>0</v>
      </c>
      <c r="J75" s="5">
        <f>J46*'Data inputs'!$C16</f>
        <v>0</v>
      </c>
      <c r="K75" s="5">
        <f>K46*'Data inputs'!$C16</f>
        <v>0</v>
      </c>
      <c r="L75" s="5">
        <f t="shared" si="34"/>
        <v>0</v>
      </c>
    </row>
    <row r="76" spans="1:12" x14ac:dyDescent="0.25">
      <c r="A76" s="4" t="s">
        <v>124</v>
      </c>
      <c r="B76" s="5">
        <f>B47*'Data inputs'!$C17</f>
        <v>760570.59420680662</v>
      </c>
      <c r="C76" s="5">
        <f>C47*'Data inputs'!$C17</f>
        <v>760570.59420680662</v>
      </c>
      <c r="D76" s="5">
        <f>D47*'Data inputs'!$C17</f>
        <v>760570.59420680662</v>
      </c>
      <c r="E76" s="5">
        <f>E47*'Data inputs'!$C17</f>
        <v>760570.59420680662</v>
      </c>
      <c r="F76" s="5">
        <f>F47*'Data inputs'!$C17</f>
        <v>760570.59420680662</v>
      </c>
      <c r="G76" s="5">
        <f>G47*'Data inputs'!$C17</f>
        <v>760570.59420680662</v>
      </c>
      <c r="H76" s="5">
        <f>H47*'Data inputs'!$C17</f>
        <v>760570.59420680662</v>
      </c>
      <c r="I76" s="5">
        <f>I47*'Data inputs'!$C17</f>
        <v>760570.59420680662</v>
      </c>
      <c r="J76" s="5">
        <f>J47*'Data inputs'!$C17</f>
        <v>760570.59420680662</v>
      </c>
      <c r="K76" s="5">
        <f>K47*'Data inputs'!$C17</f>
        <v>760570.59420680662</v>
      </c>
      <c r="L76" s="5">
        <f t="shared" si="34"/>
        <v>760570.59420680651</v>
      </c>
    </row>
    <row r="77" spans="1:12" x14ac:dyDescent="0.25">
      <c r="A77" s="4" t="s">
        <v>12</v>
      </c>
      <c r="B77" s="5">
        <f>B48*'Data inputs'!$C18</f>
        <v>0</v>
      </c>
      <c r="C77" s="5">
        <f>C48*'Data inputs'!$C18</f>
        <v>0</v>
      </c>
      <c r="D77" s="5">
        <f>D48*'Data inputs'!$C18</f>
        <v>0</v>
      </c>
      <c r="E77" s="5">
        <f>E48*'Data inputs'!$C18</f>
        <v>0</v>
      </c>
      <c r="F77" s="5">
        <f>F48*'Data inputs'!$C18</f>
        <v>0</v>
      </c>
      <c r="G77" s="5">
        <f>G48*'Data inputs'!$C18</f>
        <v>0</v>
      </c>
      <c r="H77" s="5">
        <f>H48*'Data inputs'!$C18</f>
        <v>0</v>
      </c>
      <c r="I77" s="5">
        <f>I48*'Data inputs'!$C18</f>
        <v>0</v>
      </c>
      <c r="J77" s="5">
        <f>J48*'Data inputs'!$C18</f>
        <v>0</v>
      </c>
      <c r="K77" s="5">
        <f>K48*'Data inputs'!$C18</f>
        <v>0</v>
      </c>
      <c r="L77" s="5">
        <f t="shared" si="34"/>
        <v>0</v>
      </c>
    </row>
    <row r="78" spans="1:12" x14ac:dyDescent="0.25">
      <c r="A78" s="4" t="s">
        <v>13</v>
      </c>
      <c r="B78" s="5">
        <f>B49*'Data inputs'!$C19</f>
        <v>0</v>
      </c>
      <c r="C78" s="5">
        <f>C49*'Data inputs'!$C19</f>
        <v>0</v>
      </c>
      <c r="D78" s="5">
        <f>D49*'Data inputs'!$C19</f>
        <v>0</v>
      </c>
      <c r="E78" s="5">
        <f>E49*'Data inputs'!$C19</f>
        <v>0</v>
      </c>
      <c r="F78" s="5">
        <f>F49*'Data inputs'!$C19</f>
        <v>0</v>
      </c>
      <c r="G78" s="5">
        <f>G49*'Data inputs'!$C19</f>
        <v>0</v>
      </c>
      <c r="H78" s="5">
        <f>H49*'Data inputs'!$C19</f>
        <v>0</v>
      </c>
      <c r="I78" s="5">
        <f>I49*'Data inputs'!$C19</f>
        <v>0</v>
      </c>
      <c r="J78" s="5">
        <f>J49*'Data inputs'!$C19</f>
        <v>0</v>
      </c>
      <c r="K78" s="5">
        <f>K49*'Data inputs'!$C19</f>
        <v>0</v>
      </c>
      <c r="L78" s="5">
        <f t="shared" si="34"/>
        <v>0</v>
      </c>
    </row>
    <row r="79" spans="1:12" x14ac:dyDescent="0.25">
      <c r="A79" s="4" t="s">
        <v>14</v>
      </c>
      <c r="B79" s="5">
        <f>B50*'Data inputs'!$C20</f>
        <v>0</v>
      </c>
      <c r="C79" s="5">
        <f>C50*'Data inputs'!$C20</f>
        <v>0</v>
      </c>
      <c r="D79" s="5">
        <f>D50*'Data inputs'!$C20</f>
        <v>0</v>
      </c>
      <c r="E79" s="5">
        <f>E50*'Data inputs'!$C20</f>
        <v>0</v>
      </c>
      <c r="F79" s="5">
        <f>F50*'Data inputs'!$C20</f>
        <v>0</v>
      </c>
      <c r="G79" s="5">
        <f>G50*'Data inputs'!$C20</f>
        <v>0</v>
      </c>
      <c r="H79" s="5">
        <f>H50*'Data inputs'!$C20</f>
        <v>0</v>
      </c>
      <c r="I79" s="5">
        <f>I50*'Data inputs'!$C20</f>
        <v>0</v>
      </c>
      <c r="J79" s="5">
        <f>J50*'Data inputs'!$C20</f>
        <v>0</v>
      </c>
      <c r="K79" s="5">
        <f>K50*'Data inputs'!$C20</f>
        <v>0</v>
      </c>
      <c r="L79" s="5">
        <f t="shared" si="34"/>
        <v>0</v>
      </c>
    </row>
    <row r="80" spans="1:12" x14ac:dyDescent="0.25">
      <c r="A80" s="4" t="s">
        <v>125</v>
      </c>
      <c r="B80" s="5">
        <f>B51*'Data inputs'!$C21</f>
        <v>539495.90062514914</v>
      </c>
      <c r="C80" s="5">
        <f>C51*'Data inputs'!$C21</f>
        <v>539495.90062514914</v>
      </c>
      <c r="D80" s="5">
        <f>D51*'Data inputs'!$C21</f>
        <v>539495.90062514914</v>
      </c>
      <c r="E80" s="5">
        <f>E51*'Data inputs'!$C21</f>
        <v>539495.90062514914</v>
      </c>
      <c r="F80" s="5">
        <f>F51*'Data inputs'!$C21</f>
        <v>539495.90062514914</v>
      </c>
      <c r="G80" s="5">
        <f>G51*'Data inputs'!$C21</f>
        <v>539495.90062514914</v>
      </c>
      <c r="H80" s="5">
        <f>H51*'Data inputs'!$C21</f>
        <v>539495.90062514914</v>
      </c>
      <c r="I80" s="5">
        <f>I51*'Data inputs'!$C21</f>
        <v>539495.90062514914</v>
      </c>
      <c r="J80" s="5">
        <f>J51*'Data inputs'!$C21</f>
        <v>539495.90062514914</v>
      </c>
      <c r="K80" s="5">
        <f>K51*'Data inputs'!$C21</f>
        <v>539495.90062514914</v>
      </c>
      <c r="L80" s="5">
        <f t="shared" si="34"/>
        <v>539495.90062514902</v>
      </c>
    </row>
    <row r="81" spans="1:12" x14ac:dyDescent="0.25">
      <c r="A81" s="4" t="s">
        <v>37</v>
      </c>
      <c r="B81" s="5">
        <f>B52*'Data inputs'!$C22</f>
        <v>11246306.237127731</v>
      </c>
      <c r="C81" s="5">
        <f>C52*'Data inputs'!$C22</f>
        <v>11246306.237127731</v>
      </c>
      <c r="D81" s="5">
        <f>D52*'Data inputs'!$C22</f>
        <v>11246306.237127731</v>
      </c>
      <c r="E81" s="5">
        <f>E52*'Data inputs'!$C22</f>
        <v>11246306.237127731</v>
      </c>
      <c r="F81" s="5">
        <f>F52*'Data inputs'!$C22</f>
        <v>11246306.237127731</v>
      </c>
      <c r="G81" s="5">
        <f>G52*'Data inputs'!$C22</f>
        <v>11246306.237127731</v>
      </c>
      <c r="H81" s="5">
        <f>H52*'Data inputs'!$C22</f>
        <v>11246306.237127731</v>
      </c>
      <c r="I81" s="5">
        <f>I52*'Data inputs'!$C22</f>
        <v>11246306.237127731</v>
      </c>
      <c r="J81" s="5">
        <f>J52*'Data inputs'!$C22</f>
        <v>11246306.237127731</v>
      </c>
      <c r="K81" s="5">
        <f>K52*'Data inputs'!$C22</f>
        <v>11246306.237127731</v>
      </c>
      <c r="L81" s="5">
        <f t="shared" si="34"/>
        <v>11246306.237127732</v>
      </c>
    </row>
    <row r="82" spans="1:12" x14ac:dyDescent="0.25">
      <c r="A82" s="4" t="s">
        <v>38</v>
      </c>
      <c r="B82" s="5">
        <f>B53*'Data inputs'!$C23</f>
        <v>0</v>
      </c>
      <c r="C82" s="5">
        <f>C53*'Data inputs'!$C23</f>
        <v>0</v>
      </c>
      <c r="D82" s="5">
        <f>D53*'Data inputs'!$C23</f>
        <v>0</v>
      </c>
      <c r="E82" s="5">
        <f>E53*'Data inputs'!$C23</f>
        <v>0</v>
      </c>
      <c r="F82" s="5">
        <f>F53*'Data inputs'!$C23</f>
        <v>0</v>
      </c>
      <c r="G82" s="5">
        <f>G53*'Data inputs'!$C23</f>
        <v>0</v>
      </c>
      <c r="H82" s="5">
        <f>H53*'Data inputs'!$C23</f>
        <v>0</v>
      </c>
      <c r="I82" s="5">
        <f>I53*'Data inputs'!$C23</f>
        <v>0</v>
      </c>
      <c r="J82" s="5">
        <f>J53*'Data inputs'!$C23</f>
        <v>0</v>
      </c>
      <c r="K82" s="5">
        <f>K53*'Data inputs'!$C23</f>
        <v>0</v>
      </c>
      <c r="L82" s="5">
        <f t="shared" si="34"/>
        <v>0</v>
      </c>
    </row>
    <row r="83" spans="1:12" x14ac:dyDescent="0.25">
      <c r="A83" s="4" t="s">
        <v>15</v>
      </c>
      <c r="B83" s="13">
        <f>B54*'Data inputs'!$C24</f>
        <v>6066730.7692706138</v>
      </c>
      <c r="C83" s="13">
        <f>C54*'Data inputs'!$C24</f>
        <v>6066730.7692706138</v>
      </c>
      <c r="D83" s="13">
        <f>D54*'Data inputs'!$C24</f>
        <v>6066730.7692706138</v>
      </c>
      <c r="E83" s="13">
        <f>E54*'Data inputs'!$C24</f>
        <v>6066730.7692706138</v>
      </c>
      <c r="F83" s="13">
        <f>F54*'Data inputs'!$C24</f>
        <v>6066730.7692706138</v>
      </c>
      <c r="G83" s="13">
        <f>G54*'Data inputs'!$C24</f>
        <v>6066730.7692706138</v>
      </c>
      <c r="H83" s="13">
        <f>H54*'Data inputs'!$C24</f>
        <v>6066730.7692706138</v>
      </c>
      <c r="I83" s="13">
        <f>I54*'Data inputs'!$C24</f>
        <v>6066730.7692706138</v>
      </c>
      <c r="J83" s="13">
        <f>J54*'Data inputs'!$C24</f>
        <v>6066730.7692706138</v>
      </c>
      <c r="K83" s="13">
        <f>K54*'Data inputs'!$C24</f>
        <v>6066730.7692706138</v>
      </c>
      <c r="L83" s="5">
        <f t="shared" si="34"/>
        <v>6066730.7692706138</v>
      </c>
    </row>
    <row r="84" spans="1:12" x14ac:dyDescent="0.25">
      <c r="B84" s="5">
        <f>SUM(B73:B83)</f>
        <v>24002023.548039492</v>
      </c>
      <c r="C84" s="5">
        <f t="shared" ref="C84:K84" si="35">SUM(C73:C83)</f>
        <v>24002023.548039492</v>
      </c>
      <c r="D84" s="5">
        <f t="shared" si="35"/>
        <v>24002023.548039492</v>
      </c>
      <c r="E84" s="5">
        <f t="shared" si="35"/>
        <v>24002023.548039492</v>
      </c>
      <c r="F84" s="5">
        <f t="shared" si="35"/>
        <v>24002023.548039492</v>
      </c>
      <c r="G84" s="5">
        <f t="shared" si="35"/>
        <v>24002023.548039492</v>
      </c>
      <c r="H84" s="5">
        <f t="shared" si="35"/>
        <v>24002023.548039492</v>
      </c>
      <c r="I84" s="5">
        <f t="shared" si="35"/>
        <v>24002023.548039492</v>
      </c>
      <c r="J84" s="5">
        <f t="shared" si="35"/>
        <v>24002023.548039492</v>
      </c>
      <c r="K84" s="5">
        <f t="shared" si="35"/>
        <v>24002023.548039492</v>
      </c>
      <c r="L84" s="5"/>
    </row>
    <row r="86" spans="1:12" ht="30" x14ac:dyDescent="0.25">
      <c r="A86" s="15" t="s">
        <v>58</v>
      </c>
      <c r="B86" s="12" t="str">
        <f>'Summary dashboard'!C4</f>
        <v>2023</v>
      </c>
      <c r="C86" s="49">
        <f t="shared" ref="C86:K86" si="36">B86+1</f>
        <v>2024</v>
      </c>
      <c r="D86" s="49">
        <f t="shared" si="36"/>
        <v>2025</v>
      </c>
      <c r="E86" s="49">
        <f t="shared" si="36"/>
        <v>2026</v>
      </c>
      <c r="F86" s="49">
        <f t="shared" si="36"/>
        <v>2027</v>
      </c>
      <c r="G86" s="49">
        <f t="shared" si="36"/>
        <v>2028</v>
      </c>
      <c r="H86" s="49">
        <f t="shared" si="36"/>
        <v>2029</v>
      </c>
      <c r="I86" s="49">
        <f t="shared" si="36"/>
        <v>2030</v>
      </c>
      <c r="J86" s="49">
        <f t="shared" si="36"/>
        <v>2031</v>
      </c>
      <c r="K86" s="49">
        <f t="shared" si="36"/>
        <v>2032</v>
      </c>
      <c r="L86" s="1" t="s">
        <v>28</v>
      </c>
    </row>
    <row r="87" spans="1:12" x14ac:dyDescent="0.25">
      <c r="A87" s="4" t="s">
        <v>35</v>
      </c>
      <c r="B87" s="5">
        <f>(B73+B58)/2</f>
        <v>5778601.8599641873</v>
      </c>
      <c r="C87" s="5">
        <f t="shared" ref="C87:K87" si="37">(C73+C58)/2</f>
        <v>5778601.8599641873</v>
      </c>
      <c r="D87" s="5">
        <f t="shared" si="37"/>
        <v>5778601.8599641873</v>
      </c>
      <c r="E87" s="5">
        <f t="shared" si="37"/>
        <v>5778601.8599641873</v>
      </c>
      <c r="F87" s="5">
        <f t="shared" si="37"/>
        <v>5778601.8599641873</v>
      </c>
      <c r="G87" s="5">
        <f t="shared" si="37"/>
        <v>5778601.8599641873</v>
      </c>
      <c r="H87" s="5">
        <f t="shared" si="37"/>
        <v>5778601.8599641873</v>
      </c>
      <c r="I87" s="5">
        <f t="shared" si="37"/>
        <v>5778601.8599641873</v>
      </c>
      <c r="J87" s="5">
        <f t="shared" si="37"/>
        <v>5778601.8599641873</v>
      </c>
      <c r="K87" s="5">
        <f t="shared" si="37"/>
        <v>5778601.8599641873</v>
      </c>
      <c r="L87" s="5">
        <f t="shared" ref="L87:L97" si="38">AVERAGE(B87:K87)</f>
        <v>5778601.8599641863</v>
      </c>
    </row>
    <row r="88" spans="1:12" x14ac:dyDescent="0.25">
      <c r="A88" s="4" t="s">
        <v>36</v>
      </c>
      <c r="B88" s="5">
        <f t="shared" ref="B88:K88" si="39">(B74+B59)/2</f>
        <v>945592.15278379642</v>
      </c>
      <c r="C88" s="5">
        <f t="shared" si="39"/>
        <v>945592.15278379642</v>
      </c>
      <c r="D88" s="5">
        <f t="shared" si="39"/>
        <v>945592.15278379642</v>
      </c>
      <c r="E88" s="5">
        <f t="shared" si="39"/>
        <v>945592.15278379642</v>
      </c>
      <c r="F88" s="5">
        <f t="shared" si="39"/>
        <v>945592.15278379642</v>
      </c>
      <c r="G88" s="5">
        <f t="shared" si="39"/>
        <v>945592.15278379642</v>
      </c>
      <c r="H88" s="5">
        <f t="shared" si="39"/>
        <v>945592.15278379642</v>
      </c>
      <c r="I88" s="5">
        <f t="shared" si="39"/>
        <v>945592.15278379642</v>
      </c>
      <c r="J88" s="5">
        <f t="shared" si="39"/>
        <v>945592.15278379642</v>
      </c>
      <c r="K88" s="5">
        <f t="shared" si="39"/>
        <v>945592.15278379642</v>
      </c>
      <c r="L88" s="5">
        <f t="shared" si="38"/>
        <v>945592.15278379642</v>
      </c>
    </row>
    <row r="89" spans="1:12" x14ac:dyDescent="0.25">
      <c r="A89" s="4" t="s">
        <v>11</v>
      </c>
      <c r="B89" s="5">
        <f t="shared" ref="B89:K89" si="40">(B75+B60)/2</f>
        <v>0</v>
      </c>
      <c r="C89" s="5">
        <f t="shared" si="40"/>
        <v>0</v>
      </c>
      <c r="D89" s="5">
        <f t="shared" si="40"/>
        <v>0</v>
      </c>
      <c r="E89" s="5">
        <f t="shared" si="40"/>
        <v>0</v>
      </c>
      <c r="F89" s="5">
        <f t="shared" si="40"/>
        <v>0</v>
      </c>
      <c r="G89" s="5">
        <f t="shared" si="40"/>
        <v>0</v>
      </c>
      <c r="H89" s="5">
        <f t="shared" si="40"/>
        <v>0</v>
      </c>
      <c r="I89" s="5">
        <f t="shared" si="40"/>
        <v>0</v>
      </c>
      <c r="J89" s="5">
        <f t="shared" si="40"/>
        <v>0</v>
      </c>
      <c r="K89" s="5">
        <f t="shared" si="40"/>
        <v>0</v>
      </c>
      <c r="L89" s="5">
        <f t="shared" si="38"/>
        <v>0</v>
      </c>
    </row>
    <row r="90" spans="1:12" x14ac:dyDescent="0.25">
      <c r="A90" s="4" t="s">
        <v>124</v>
      </c>
      <c r="B90" s="5">
        <f t="shared" ref="B90:K90" si="41">(B76+B61)/2</f>
        <v>887332.35990794096</v>
      </c>
      <c r="C90" s="5">
        <f t="shared" si="41"/>
        <v>887332.35990794096</v>
      </c>
      <c r="D90" s="5">
        <f t="shared" si="41"/>
        <v>887332.35990794096</v>
      </c>
      <c r="E90" s="5">
        <f t="shared" si="41"/>
        <v>887332.35990794096</v>
      </c>
      <c r="F90" s="5">
        <f t="shared" si="41"/>
        <v>887332.35990794096</v>
      </c>
      <c r="G90" s="5">
        <f t="shared" si="41"/>
        <v>887332.35990794096</v>
      </c>
      <c r="H90" s="5">
        <f t="shared" si="41"/>
        <v>887332.35990794096</v>
      </c>
      <c r="I90" s="5">
        <f t="shared" si="41"/>
        <v>887332.35990794096</v>
      </c>
      <c r="J90" s="5">
        <f t="shared" si="41"/>
        <v>887332.35990794096</v>
      </c>
      <c r="K90" s="5">
        <f t="shared" si="41"/>
        <v>887332.35990794096</v>
      </c>
      <c r="L90" s="5">
        <f t="shared" si="38"/>
        <v>887332.35990794096</v>
      </c>
    </row>
    <row r="91" spans="1:12" x14ac:dyDescent="0.25">
      <c r="A91" s="4" t="s">
        <v>12</v>
      </c>
      <c r="B91" s="5">
        <f t="shared" ref="B91:K91" si="42">(B77+B62)/2</f>
        <v>1359408.2581607928</v>
      </c>
      <c r="C91" s="5">
        <f t="shared" si="42"/>
        <v>1359408.2581607928</v>
      </c>
      <c r="D91" s="5">
        <f t="shared" si="42"/>
        <v>1359408.2581607928</v>
      </c>
      <c r="E91" s="5">
        <f t="shared" si="42"/>
        <v>1359408.2581607928</v>
      </c>
      <c r="F91" s="5">
        <f t="shared" si="42"/>
        <v>1359408.2581607928</v>
      </c>
      <c r="G91" s="5">
        <f t="shared" si="42"/>
        <v>1359408.2581607928</v>
      </c>
      <c r="H91" s="5">
        <f t="shared" si="42"/>
        <v>1359408.2581607928</v>
      </c>
      <c r="I91" s="5">
        <f t="shared" si="42"/>
        <v>1359408.2581607928</v>
      </c>
      <c r="J91" s="5">
        <f t="shared" si="42"/>
        <v>1359408.2581607928</v>
      </c>
      <c r="K91" s="5">
        <f t="shared" si="42"/>
        <v>1359408.2581607928</v>
      </c>
      <c r="L91" s="5">
        <f t="shared" si="38"/>
        <v>1359408.2581607925</v>
      </c>
    </row>
    <row r="92" spans="1:12" x14ac:dyDescent="0.25">
      <c r="A92" s="4" t="s">
        <v>13</v>
      </c>
      <c r="B92" s="5">
        <f t="shared" ref="B92:K92" si="43">(B78+B63)/2</f>
        <v>0</v>
      </c>
      <c r="C92" s="5">
        <f t="shared" si="43"/>
        <v>0</v>
      </c>
      <c r="D92" s="5">
        <f t="shared" si="43"/>
        <v>0</v>
      </c>
      <c r="E92" s="5">
        <f t="shared" si="43"/>
        <v>0</v>
      </c>
      <c r="F92" s="5">
        <f t="shared" si="43"/>
        <v>0</v>
      </c>
      <c r="G92" s="5">
        <f t="shared" si="43"/>
        <v>0</v>
      </c>
      <c r="H92" s="5">
        <f t="shared" si="43"/>
        <v>0</v>
      </c>
      <c r="I92" s="5">
        <f t="shared" si="43"/>
        <v>0</v>
      </c>
      <c r="J92" s="5">
        <f t="shared" si="43"/>
        <v>0</v>
      </c>
      <c r="K92" s="5">
        <f t="shared" si="43"/>
        <v>0</v>
      </c>
      <c r="L92" s="5">
        <f t="shared" si="38"/>
        <v>0</v>
      </c>
    </row>
    <row r="93" spans="1:12" x14ac:dyDescent="0.25">
      <c r="A93" s="4" t="s">
        <v>14</v>
      </c>
      <c r="B93" s="5">
        <f t="shared" ref="B93:K93" si="44">(B79+B64)/2</f>
        <v>0</v>
      </c>
      <c r="C93" s="5">
        <f t="shared" si="44"/>
        <v>0</v>
      </c>
      <c r="D93" s="5">
        <f t="shared" si="44"/>
        <v>0</v>
      </c>
      <c r="E93" s="5">
        <f t="shared" si="44"/>
        <v>0</v>
      </c>
      <c r="F93" s="5">
        <f t="shared" si="44"/>
        <v>0</v>
      </c>
      <c r="G93" s="5">
        <f t="shared" si="44"/>
        <v>0</v>
      </c>
      <c r="H93" s="5">
        <f t="shared" si="44"/>
        <v>0</v>
      </c>
      <c r="I93" s="5">
        <f t="shared" si="44"/>
        <v>0</v>
      </c>
      <c r="J93" s="5">
        <f t="shared" si="44"/>
        <v>0</v>
      </c>
      <c r="K93" s="5">
        <f t="shared" si="44"/>
        <v>0</v>
      </c>
      <c r="L93" s="5">
        <f t="shared" si="38"/>
        <v>0</v>
      </c>
    </row>
    <row r="94" spans="1:12" x14ac:dyDescent="0.25">
      <c r="A94" s="4" t="s">
        <v>125</v>
      </c>
      <c r="B94" s="5">
        <f t="shared" ref="B94:K94" si="45">(B80+B65)/2</f>
        <v>629411.88406267401</v>
      </c>
      <c r="C94" s="5">
        <f t="shared" si="45"/>
        <v>629411.88406267401</v>
      </c>
      <c r="D94" s="5">
        <f t="shared" si="45"/>
        <v>629411.88406267401</v>
      </c>
      <c r="E94" s="5">
        <f t="shared" si="45"/>
        <v>629411.88406267401</v>
      </c>
      <c r="F94" s="5">
        <f t="shared" si="45"/>
        <v>629411.88406267401</v>
      </c>
      <c r="G94" s="5">
        <f t="shared" si="45"/>
        <v>629411.88406267401</v>
      </c>
      <c r="H94" s="5">
        <f t="shared" si="45"/>
        <v>629411.88406267401</v>
      </c>
      <c r="I94" s="5">
        <f t="shared" si="45"/>
        <v>629411.88406267401</v>
      </c>
      <c r="J94" s="5">
        <f t="shared" si="45"/>
        <v>629411.88406267401</v>
      </c>
      <c r="K94" s="5">
        <f t="shared" si="45"/>
        <v>629411.88406267401</v>
      </c>
      <c r="L94" s="5">
        <f t="shared" si="38"/>
        <v>629411.88406267401</v>
      </c>
    </row>
    <row r="95" spans="1:12" x14ac:dyDescent="0.25">
      <c r="A95" s="4" t="s">
        <v>37</v>
      </c>
      <c r="B95" s="5">
        <f t="shared" ref="B95:K95" si="46">(B81+B66)/2</f>
        <v>13861726.292273715</v>
      </c>
      <c r="C95" s="5">
        <f t="shared" si="46"/>
        <v>13861726.292273715</v>
      </c>
      <c r="D95" s="5">
        <f t="shared" si="46"/>
        <v>13861726.292273715</v>
      </c>
      <c r="E95" s="5">
        <f t="shared" si="46"/>
        <v>13861726.292273715</v>
      </c>
      <c r="F95" s="5">
        <f t="shared" si="46"/>
        <v>13861726.292273715</v>
      </c>
      <c r="G95" s="5">
        <f t="shared" si="46"/>
        <v>13861726.292273715</v>
      </c>
      <c r="H95" s="5">
        <f t="shared" si="46"/>
        <v>13861726.292273715</v>
      </c>
      <c r="I95" s="5">
        <f t="shared" si="46"/>
        <v>13861726.292273715</v>
      </c>
      <c r="J95" s="5">
        <f t="shared" si="46"/>
        <v>13861726.292273715</v>
      </c>
      <c r="K95" s="5">
        <f t="shared" si="46"/>
        <v>13861726.292273715</v>
      </c>
      <c r="L95" s="5">
        <f t="shared" si="38"/>
        <v>13861726.292273715</v>
      </c>
    </row>
    <row r="96" spans="1:12" x14ac:dyDescent="0.25">
      <c r="A96" s="4" t="s">
        <v>38</v>
      </c>
      <c r="B96" s="5">
        <f t="shared" ref="B96:K96" si="47">(B82+B67)/2</f>
        <v>175301.56918280516</v>
      </c>
      <c r="C96" s="5">
        <f t="shared" si="47"/>
        <v>175301.56918280516</v>
      </c>
      <c r="D96" s="5">
        <f t="shared" si="47"/>
        <v>175301.56918280516</v>
      </c>
      <c r="E96" s="5">
        <f t="shared" si="47"/>
        <v>175301.56918280516</v>
      </c>
      <c r="F96" s="5">
        <f t="shared" si="47"/>
        <v>175301.56918280516</v>
      </c>
      <c r="G96" s="5">
        <f t="shared" si="47"/>
        <v>175301.56918280516</v>
      </c>
      <c r="H96" s="5">
        <f t="shared" si="47"/>
        <v>175301.56918280516</v>
      </c>
      <c r="I96" s="5">
        <f t="shared" si="47"/>
        <v>175301.56918280516</v>
      </c>
      <c r="J96" s="5">
        <f t="shared" si="47"/>
        <v>175301.56918280516</v>
      </c>
      <c r="K96" s="5">
        <f t="shared" si="47"/>
        <v>175301.56918280516</v>
      </c>
      <c r="L96" s="5">
        <f t="shared" si="38"/>
        <v>175301.56918280519</v>
      </c>
    </row>
    <row r="97" spans="1:12" x14ac:dyDescent="0.25">
      <c r="A97" s="4" t="s">
        <v>15</v>
      </c>
      <c r="B97" s="13">
        <f t="shared" ref="B97:K97" si="48">(B83+B68)/2</f>
        <v>9100096.1539059207</v>
      </c>
      <c r="C97" s="13">
        <f t="shared" si="48"/>
        <v>9100096.1539059207</v>
      </c>
      <c r="D97" s="13">
        <f t="shared" si="48"/>
        <v>9100096.1539059207</v>
      </c>
      <c r="E97" s="13">
        <f t="shared" si="48"/>
        <v>9100096.1539059207</v>
      </c>
      <c r="F97" s="13">
        <f t="shared" si="48"/>
        <v>9100096.1539059207</v>
      </c>
      <c r="G97" s="13">
        <f t="shared" si="48"/>
        <v>9100096.1539059207</v>
      </c>
      <c r="H97" s="13">
        <f t="shared" si="48"/>
        <v>9100096.1539059207</v>
      </c>
      <c r="I97" s="13">
        <f t="shared" si="48"/>
        <v>9100096.1539059207</v>
      </c>
      <c r="J97" s="13">
        <f t="shared" si="48"/>
        <v>9100096.1539059207</v>
      </c>
      <c r="K97" s="13">
        <f t="shared" si="48"/>
        <v>9100096.1539059207</v>
      </c>
      <c r="L97" s="5">
        <f t="shared" si="38"/>
        <v>9100096.1539059225</v>
      </c>
    </row>
    <row r="98" spans="1:12" x14ac:dyDescent="0.25">
      <c r="B98" s="5">
        <f t="shared" ref="B98:K98" si="49">SUM(B87:B97)</f>
        <v>32737470.530241832</v>
      </c>
      <c r="C98" s="5">
        <f t="shared" si="49"/>
        <v>32737470.530241832</v>
      </c>
      <c r="D98" s="5">
        <f t="shared" si="49"/>
        <v>32737470.530241832</v>
      </c>
      <c r="E98" s="5">
        <f t="shared" si="49"/>
        <v>32737470.530241832</v>
      </c>
      <c r="F98" s="5">
        <f t="shared" si="49"/>
        <v>32737470.530241832</v>
      </c>
      <c r="G98" s="5">
        <f t="shared" si="49"/>
        <v>32737470.530241832</v>
      </c>
      <c r="H98" s="5">
        <f t="shared" si="49"/>
        <v>32737470.530241832</v>
      </c>
      <c r="I98" s="5">
        <f t="shared" si="49"/>
        <v>32737470.530241832</v>
      </c>
      <c r="J98" s="5">
        <f t="shared" si="49"/>
        <v>32737470.530241832</v>
      </c>
      <c r="K98" s="5">
        <f t="shared" si="49"/>
        <v>32737470.530241832</v>
      </c>
      <c r="L98" s="5"/>
    </row>
    <row r="100" spans="1:12" x14ac:dyDescent="0.25">
      <c r="A100" s="21" t="s">
        <v>52</v>
      </c>
      <c r="B100" s="21" t="str">
        <f>'Summary dashboard'!C4</f>
        <v>2023</v>
      </c>
      <c r="C100" s="21">
        <f>B100+1</f>
        <v>2024</v>
      </c>
      <c r="D100" s="21">
        <f t="shared" ref="D100:K100" si="50">C100+1</f>
        <v>2025</v>
      </c>
      <c r="E100" s="21">
        <f t="shared" si="50"/>
        <v>2026</v>
      </c>
      <c r="F100" s="21">
        <f t="shared" si="50"/>
        <v>2027</v>
      </c>
      <c r="G100" s="21">
        <f t="shared" si="50"/>
        <v>2028</v>
      </c>
      <c r="H100" s="21">
        <f t="shared" si="50"/>
        <v>2029</v>
      </c>
      <c r="I100" s="21">
        <f t="shared" si="50"/>
        <v>2030</v>
      </c>
      <c r="J100" s="21">
        <f t="shared" si="50"/>
        <v>2031</v>
      </c>
      <c r="K100" s="21">
        <f t="shared" si="50"/>
        <v>2032</v>
      </c>
    </row>
    <row r="101" spans="1:12" x14ac:dyDescent="0.25">
      <c r="A101" t="s">
        <v>73</v>
      </c>
      <c r="B101" s="16">
        <f>SUM(B87:B97)/SUM(B44:B54)</f>
        <v>0.31876310301136696</v>
      </c>
      <c r="C101" s="16">
        <f t="shared" ref="C101:K101" si="51">SUM(C87:C97)/SUM(C44:C54)</f>
        <v>0.31876310301136696</v>
      </c>
      <c r="D101" s="16">
        <f t="shared" si="51"/>
        <v>0.31876310301136696</v>
      </c>
      <c r="E101" s="16">
        <f t="shared" si="51"/>
        <v>0.31876310301136696</v>
      </c>
      <c r="F101" s="16">
        <f t="shared" si="51"/>
        <v>0.31876310301136696</v>
      </c>
      <c r="G101" s="16">
        <f t="shared" si="51"/>
        <v>0.31876310301136696</v>
      </c>
      <c r="H101" s="16">
        <f t="shared" si="51"/>
        <v>0.31876310301136696</v>
      </c>
      <c r="I101" s="16">
        <f t="shared" si="51"/>
        <v>0.31876310301136696</v>
      </c>
      <c r="J101" s="16">
        <f t="shared" si="51"/>
        <v>0.31876310301136696</v>
      </c>
      <c r="K101" s="16">
        <f t="shared" si="51"/>
        <v>0.31876310301136696</v>
      </c>
    </row>
    <row r="102" spans="1:12" x14ac:dyDescent="0.25">
      <c r="A102" t="s">
        <v>70</v>
      </c>
      <c r="B102" s="16">
        <f>SUM(B84:K84)/SUM($B$55:$K$55)</f>
        <v>0.23370649536460847</v>
      </c>
    </row>
    <row r="103" spans="1:12" x14ac:dyDescent="0.25">
      <c r="A103" t="s">
        <v>71</v>
      </c>
      <c r="B103" s="16">
        <f>SUM(B98:K98)/SUM($B$55:$K$55)</f>
        <v>0.31876310301136707</v>
      </c>
    </row>
    <row r="104" spans="1:12" x14ac:dyDescent="0.25">
      <c r="A104" t="s">
        <v>72</v>
      </c>
      <c r="B104" s="16">
        <f>SUM(B69:K69)/SUM($B$55:$K$55)</f>
        <v>0.40381971065812561</v>
      </c>
    </row>
  </sheetData>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29996AD4-349D-40BB-A36F-7FE3B8AA2B29}">
          <x14:formula1>
            <xm:f>Lists!$C$2:$C$7</xm:f>
          </x14:formula1>
          <xm:sqref>A1</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EE2ACE-D8F9-484E-B2E3-C34CC92673B0}">
  <dimension ref="A1:N104"/>
  <sheetViews>
    <sheetView zoomScaleNormal="100" workbookViewId="0">
      <selection activeCell="A4" sqref="A4"/>
    </sheetView>
  </sheetViews>
  <sheetFormatPr defaultRowHeight="15" x14ac:dyDescent="0.25"/>
  <cols>
    <col min="1" max="1" width="34" customWidth="1"/>
    <col min="2" max="3" width="12.5703125" customWidth="1"/>
    <col min="4" max="4" width="13.85546875" customWidth="1"/>
    <col min="5" max="13" width="12.5703125" customWidth="1"/>
    <col min="14" max="14" width="12.140625" bestFit="1" customWidth="1"/>
  </cols>
  <sheetData>
    <row r="1" spans="1:11" s="3" customFormat="1" x14ac:dyDescent="0.25">
      <c r="A1" s="2" t="s">
        <v>33</v>
      </c>
    </row>
    <row r="2" spans="1:11" x14ac:dyDescent="0.25">
      <c r="A2" t="s">
        <v>19</v>
      </c>
      <c r="B2" s="12" t="str">
        <f>'Summary dashboard'!C4</f>
        <v>2023</v>
      </c>
      <c r="C2" s="12">
        <f>B2+1</f>
        <v>2024</v>
      </c>
      <c r="D2" s="12">
        <f t="shared" ref="D2:K2" si="0">C2+1</f>
        <v>2025</v>
      </c>
      <c r="E2" s="12">
        <f t="shared" si="0"/>
        <v>2026</v>
      </c>
      <c r="F2" s="12">
        <f t="shared" si="0"/>
        <v>2027</v>
      </c>
      <c r="G2" s="12">
        <f t="shared" si="0"/>
        <v>2028</v>
      </c>
      <c r="H2" s="12">
        <f t="shared" si="0"/>
        <v>2029</v>
      </c>
      <c r="I2" s="12">
        <f t="shared" si="0"/>
        <v>2030</v>
      </c>
      <c r="J2" s="12">
        <f t="shared" si="0"/>
        <v>2031</v>
      </c>
      <c r="K2" s="12">
        <f t="shared" si="0"/>
        <v>2032</v>
      </c>
    </row>
    <row r="3" spans="1:11" x14ac:dyDescent="0.25">
      <c r="A3" s="4" t="s">
        <v>35</v>
      </c>
      <c r="B3">
        <f>INDEX('CMA function inputs'!$B$17:$L$22,MATCH($A$1,'CMA function inputs'!$A$17:$A$22,0),MATCH(A3,'CMA function inputs'!$B$16:$L$16,0))</f>
        <v>1</v>
      </c>
      <c r="C3">
        <f>IF($B3=1,1,IF(INDEX('CMA function inputs'!$B$25:$L$30,MATCH('Vaal-Orange CMA'!$A$1,'CMA function inputs'!$A$25:$A$30,0),MATCH('Vaal-Orange CMA'!$A3,'CMA function inputs'!$B$24:$L$24,0))&lt;=C$2,1,0))</f>
        <v>1</v>
      </c>
      <c r="D3">
        <f>IF($B3=1,1,IF(INDEX('CMA function inputs'!$B$25:$L$30,MATCH('Vaal-Orange CMA'!$A$1,'CMA function inputs'!$A$25:$A$30,0),MATCH('Vaal-Orange CMA'!$A3,'CMA function inputs'!$B$24:$L$24,0))&lt;=D$2,1,0))</f>
        <v>1</v>
      </c>
      <c r="E3">
        <f>IF($B3=1,1,IF(INDEX('CMA function inputs'!$B$25:$L$30,MATCH('Vaal-Orange CMA'!$A$1,'CMA function inputs'!$A$25:$A$30,0),MATCH('Vaal-Orange CMA'!$A3,'CMA function inputs'!$B$24:$L$24,0))&lt;=E$2,1,0))</f>
        <v>1</v>
      </c>
      <c r="F3">
        <f>IF($B3=1,1,IF(INDEX('CMA function inputs'!$B$25:$L$30,MATCH('Vaal-Orange CMA'!$A$1,'CMA function inputs'!$A$25:$A$30,0),MATCH('Vaal-Orange CMA'!$A3,'CMA function inputs'!$B$24:$L$24,0))&lt;=F$2,1,0))</f>
        <v>1</v>
      </c>
      <c r="G3">
        <f>IF($B3=1,1,IF(INDEX('CMA function inputs'!$B$25:$L$30,MATCH('Vaal-Orange CMA'!$A$1,'CMA function inputs'!$A$25:$A$30,0),MATCH('Vaal-Orange CMA'!$A3,'CMA function inputs'!$B$24:$L$24,0))&lt;=G$2,1,0))</f>
        <v>1</v>
      </c>
      <c r="H3">
        <f>IF($B3=1,1,IF(INDEX('CMA function inputs'!$B$25:$L$30,MATCH('Vaal-Orange CMA'!$A$1,'CMA function inputs'!$A$25:$A$30,0),MATCH('Vaal-Orange CMA'!$A3,'CMA function inputs'!$B$24:$L$24,0))&lt;=H$2,1,0))</f>
        <v>1</v>
      </c>
      <c r="I3">
        <f>IF($B3=1,1,IF(INDEX('CMA function inputs'!$B$25:$L$30,MATCH('Vaal-Orange CMA'!$A$1,'CMA function inputs'!$A$25:$A$30,0),MATCH('Vaal-Orange CMA'!$A3,'CMA function inputs'!$B$24:$L$24,0))&lt;=I$2,1,0))</f>
        <v>1</v>
      </c>
      <c r="J3">
        <f>IF($B3=1,1,IF(INDEX('CMA function inputs'!$B$25:$L$30,MATCH('Vaal-Orange CMA'!$A$1,'CMA function inputs'!$A$25:$A$30,0),MATCH('Vaal-Orange CMA'!$A3,'CMA function inputs'!$B$24:$L$24,0))&lt;=J$2,1,0))</f>
        <v>1</v>
      </c>
      <c r="K3">
        <f>IF($B3=1,1,IF(INDEX('CMA function inputs'!$B$25:$L$30,MATCH('Vaal-Orange CMA'!$A$1,'CMA function inputs'!$A$25:$A$30,0),MATCH('Vaal-Orange CMA'!$A3,'CMA function inputs'!$B$24:$L$24,0))&lt;=K$2,1,0))</f>
        <v>1</v>
      </c>
    </row>
    <row r="4" spans="1:11" x14ac:dyDescent="0.25">
      <c r="A4" s="4" t="s">
        <v>36</v>
      </c>
      <c r="B4">
        <f>INDEX('CMA function inputs'!$B$17:$L$22,MATCH($A$1,'CMA function inputs'!$A$17:$A$22,0),MATCH(A4,'CMA function inputs'!$B$16:$L$16,0))</f>
        <v>1</v>
      </c>
      <c r="C4">
        <f>IF($B4=1,1,IF(INDEX('CMA function inputs'!$B$25:$L$30,MATCH('Vaal-Orange CMA'!$A$1,'CMA function inputs'!$A$25:$A$30,0),MATCH('Vaal-Orange CMA'!$A4,'CMA function inputs'!$B$24:$L$24,0))&lt;=C$2,1,0))</f>
        <v>1</v>
      </c>
      <c r="D4">
        <f>IF($B4=1,1,IF(INDEX('CMA function inputs'!$B$25:$L$30,MATCH('Vaal-Orange CMA'!$A$1,'CMA function inputs'!$A$25:$A$30,0),MATCH('Vaal-Orange CMA'!$A4,'CMA function inputs'!$B$24:$L$24,0))&lt;=D$2,1,0))</f>
        <v>1</v>
      </c>
      <c r="E4">
        <f>IF($B4=1,1,IF(INDEX('CMA function inputs'!$B$25:$L$30,MATCH('Vaal-Orange CMA'!$A$1,'CMA function inputs'!$A$25:$A$30,0),MATCH('Vaal-Orange CMA'!$A4,'CMA function inputs'!$B$24:$L$24,0))&lt;=E$2,1,0))</f>
        <v>1</v>
      </c>
      <c r="F4">
        <f>IF($B4=1,1,IF(INDEX('CMA function inputs'!$B$25:$L$30,MATCH('Vaal-Orange CMA'!$A$1,'CMA function inputs'!$A$25:$A$30,0),MATCH('Vaal-Orange CMA'!$A4,'CMA function inputs'!$B$24:$L$24,0))&lt;=F$2,1,0))</f>
        <v>1</v>
      </c>
      <c r="G4">
        <f>IF($B4=1,1,IF(INDEX('CMA function inputs'!$B$25:$L$30,MATCH('Vaal-Orange CMA'!$A$1,'CMA function inputs'!$A$25:$A$30,0),MATCH('Vaal-Orange CMA'!$A4,'CMA function inputs'!$B$24:$L$24,0))&lt;=G$2,1,0))</f>
        <v>1</v>
      </c>
      <c r="H4">
        <f>IF($B4=1,1,IF(INDEX('CMA function inputs'!$B$25:$L$30,MATCH('Vaal-Orange CMA'!$A$1,'CMA function inputs'!$A$25:$A$30,0),MATCH('Vaal-Orange CMA'!$A4,'CMA function inputs'!$B$24:$L$24,0))&lt;=H$2,1,0))</f>
        <v>1</v>
      </c>
      <c r="I4">
        <f>IF($B4=1,1,IF(INDEX('CMA function inputs'!$B$25:$L$30,MATCH('Vaal-Orange CMA'!$A$1,'CMA function inputs'!$A$25:$A$30,0),MATCH('Vaal-Orange CMA'!$A4,'CMA function inputs'!$B$24:$L$24,0))&lt;=I$2,1,0))</f>
        <v>1</v>
      </c>
      <c r="J4">
        <f>IF($B4=1,1,IF(INDEX('CMA function inputs'!$B$25:$L$30,MATCH('Vaal-Orange CMA'!$A$1,'CMA function inputs'!$A$25:$A$30,0),MATCH('Vaal-Orange CMA'!$A4,'CMA function inputs'!$B$24:$L$24,0))&lt;=J$2,1,0))</f>
        <v>1</v>
      </c>
      <c r="K4">
        <f>IF($B4=1,1,IF(INDEX('CMA function inputs'!$B$25:$L$30,MATCH('Vaal-Orange CMA'!$A$1,'CMA function inputs'!$A$25:$A$30,0),MATCH('Vaal-Orange CMA'!$A4,'CMA function inputs'!$B$24:$L$24,0))&lt;=K$2,1,0))</f>
        <v>1</v>
      </c>
    </row>
    <row r="5" spans="1:11" x14ac:dyDescent="0.25">
      <c r="A5" s="4" t="s">
        <v>11</v>
      </c>
      <c r="B5">
        <f>INDEX('CMA function inputs'!$B$17:$L$22,MATCH($A$1,'CMA function inputs'!$A$17:$A$22,0),MATCH(A5,'CMA function inputs'!$B$16:$L$16,0))</f>
        <v>1</v>
      </c>
      <c r="C5">
        <f>IF($B5=1,1,IF(INDEX('CMA function inputs'!$B$25:$L$30,MATCH('Vaal-Orange CMA'!$A$1,'CMA function inputs'!$A$25:$A$30,0),MATCH('Vaal-Orange CMA'!$A5,'CMA function inputs'!$B$24:$L$24,0))&lt;=C$2,1,0))</f>
        <v>1</v>
      </c>
      <c r="D5">
        <f>IF($B5=1,1,IF(INDEX('CMA function inputs'!$B$25:$L$30,MATCH('Vaal-Orange CMA'!$A$1,'CMA function inputs'!$A$25:$A$30,0),MATCH('Vaal-Orange CMA'!$A5,'CMA function inputs'!$B$24:$L$24,0))&lt;=D$2,1,0))</f>
        <v>1</v>
      </c>
      <c r="E5">
        <f>IF($B5=1,1,IF(INDEX('CMA function inputs'!$B$25:$L$30,MATCH('Vaal-Orange CMA'!$A$1,'CMA function inputs'!$A$25:$A$30,0),MATCH('Vaal-Orange CMA'!$A5,'CMA function inputs'!$B$24:$L$24,0))&lt;=E$2,1,0))</f>
        <v>1</v>
      </c>
      <c r="F5">
        <f>IF($B5=1,1,IF(INDEX('CMA function inputs'!$B$25:$L$30,MATCH('Vaal-Orange CMA'!$A$1,'CMA function inputs'!$A$25:$A$30,0),MATCH('Vaal-Orange CMA'!$A5,'CMA function inputs'!$B$24:$L$24,0))&lt;=F$2,1,0))</f>
        <v>1</v>
      </c>
      <c r="G5">
        <f>IF($B5=1,1,IF(INDEX('CMA function inputs'!$B$25:$L$30,MATCH('Vaal-Orange CMA'!$A$1,'CMA function inputs'!$A$25:$A$30,0),MATCH('Vaal-Orange CMA'!$A5,'CMA function inputs'!$B$24:$L$24,0))&lt;=G$2,1,0))</f>
        <v>1</v>
      </c>
      <c r="H5">
        <f>IF($B5=1,1,IF(INDEX('CMA function inputs'!$B$25:$L$30,MATCH('Vaal-Orange CMA'!$A$1,'CMA function inputs'!$A$25:$A$30,0),MATCH('Vaal-Orange CMA'!$A5,'CMA function inputs'!$B$24:$L$24,0))&lt;=H$2,1,0))</f>
        <v>1</v>
      </c>
      <c r="I5">
        <f>IF($B5=1,1,IF(INDEX('CMA function inputs'!$B$25:$L$30,MATCH('Vaal-Orange CMA'!$A$1,'CMA function inputs'!$A$25:$A$30,0),MATCH('Vaal-Orange CMA'!$A5,'CMA function inputs'!$B$24:$L$24,0))&lt;=I$2,1,0))</f>
        <v>1</v>
      </c>
      <c r="J5">
        <f>IF($B5=1,1,IF(INDEX('CMA function inputs'!$B$25:$L$30,MATCH('Vaal-Orange CMA'!$A$1,'CMA function inputs'!$A$25:$A$30,0),MATCH('Vaal-Orange CMA'!$A5,'CMA function inputs'!$B$24:$L$24,0))&lt;=J$2,1,0))</f>
        <v>1</v>
      </c>
      <c r="K5">
        <f>IF($B5=1,1,IF(INDEX('CMA function inputs'!$B$25:$L$30,MATCH('Vaal-Orange CMA'!$A$1,'CMA function inputs'!$A$25:$A$30,0),MATCH('Vaal-Orange CMA'!$A5,'CMA function inputs'!$B$24:$L$24,0))&lt;=K$2,1,0))</f>
        <v>1</v>
      </c>
    </row>
    <row r="6" spans="1:11" x14ac:dyDescent="0.25">
      <c r="A6" s="4" t="s">
        <v>124</v>
      </c>
      <c r="B6">
        <f>INDEX('CMA function inputs'!$B$17:$L$22,MATCH($A$1,'CMA function inputs'!$A$17:$A$22,0),MATCH(A6,'CMA function inputs'!$B$16:$L$16,0))</f>
        <v>1</v>
      </c>
      <c r="C6">
        <f>IF($B6=1,1,IF(INDEX('CMA function inputs'!$B$25:$L$30,MATCH('Vaal-Orange CMA'!$A$1,'CMA function inputs'!$A$25:$A$30,0),MATCH('Vaal-Orange CMA'!$A6,'CMA function inputs'!$B$24:$L$24,0))&lt;=C$2,1,0))</f>
        <v>1</v>
      </c>
      <c r="D6">
        <f>IF($B6=1,1,IF(INDEX('CMA function inputs'!$B$25:$L$30,MATCH('Vaal-Orange CMA'!$A$1,'CMA function inputs'!$A$25:$A$30,0),MATCH('Vaal-Orange CMA'!$A6,'CMA function inputs'!$B$24:$L$24,0))&lt;=D$2,1,0))</f>
        <v>1</v>
      </c>
      <c r="E6">
        <f>IF($B6=1,1,IF(INDEX('CMA function inputs'!$B$25:$L$30,MATCH('Vaal-Orange CMA'!$A$1,'CMA function inputs'!$A$25:$A$30,0),MATCH('Vaal-Orange CMA'!$A6,'CMA function inputs'!$B$24:$L$24,0))&lt;=E$2,1,0))</f>
        <v>1</v>
      </c>
      <c r="F6">
        <f>IF($B6=1,1,IF(INDEX('CMA function inputs'!$B$25:$L$30,MATCH('Vaal-Orange CMA'!$A$1,'CMA function inputs'!$A$25:$A$30,0),MATCH('Vaal-Orange CMA'!$A6,'CMA function inputs'!$B$24:$L$24,0))&lt;=F$2,1,0))</f>
        <v>1</v>
      </c>
      <c r="G6">
        <f>IF($B6=1,1,IF(INDEX('CMA function inputs'!$B$25:$L$30,MATCH('Vaal-Orange CMA'!$A$1,'CMA function inputs'!$A$25:$A$30,0),MATCH('Vaal-Orange CMA'!$A6,'CMA function inputs'!$B$24:$L$24,0))&lt;=G$2,1,0))</f>
        <v>1</v>
      </c>
      <c r="H6">
        <f>IF($B6=1,1,IF(INDEX('CMA function inputs'!$B$25:$L$30,MATCH('Vaal-Orange CMA'!$A$1,'CMA function inputs'!$A$25:$A$30,0),MATCH('Vaal-Orange CMA'!$A6,'CMA function inputs'!$B$24:$L$24,0))&lt;=H$2,1,0))</f>
        <v>1</v>
      </c>
      <c r="I6">
        <f>IF($B6=1,1,IF(INDEX('CMA function inputs'!$B$25:$L$30,MATCH('Vaal-Orange CMA'!$A$1,'CMA function inputs'!$A$25:$A$30,0),MATCH('Vaal-Orange CMA'!$A6,'CMA function inputs'!$B$24:$L$24,0))&lt;=I$2,1,0))</f>
        <v>1</v>
      </c>
      <c r="J6">
        <f>IF($B6=1,1,IF(INDEX('CMA function inputs'!$B$25:$L$30,MATCH('Vaal-Orange CMA'!$A$1,'CMA function inputs'!$A$25:$A$30,0),MATCH('Vaal-Orange CMA'!$A6,'CMA function inputs'!$B$24:$L$24,0))&lt;=J$2,1,0))</f>
        <v>1</v>
      </c>
      <c r="K6">
        <f>IF($B6=1,1,IF(INDEX('CMA function inputs'!$B$25:$L$30,MATCH('Vaal-Orange CMA'!$A$1,'CMA function inputs'!$A$25:$A$30,0),MATCH('Vaal-Orange CMA'!$A6,'CMA function inputs'!$B$24:$L$24,0))&lt;=K$2,1,0))</f>
        <v>1</v>
      </c>
    </row>
    <row r="7" spans="1:11" x14ac:dyDescent="0.25">
      <c r="A7" s="4" t="s">
        <v>12</v>
      </c>
      <c r="B7">
        <f>INDEX('CMA function inputs'!$B$17:$L$22,MATCH($A$1,'CMA function inputs'!$A$17:$A$22,0),MATCH(A7,'CMA function inputs'!$B$16:$L$16,0))</f>
        <v>1</v>
      </c>
      <c r="C7">
        <f>IF($B7=1,1,IF(INDEX('CMA function inputs'!$B$25:$L$30,MATCH('Vaal-Orange CMA'!$A$1,'CMA function inputs'!$A$25:$A$30,0),MATCH('Vaal-Orange CMA'!$A7,'CMA function inputs'!$B$24:$L$24,0))&lt;=C$2,1,0))</f>
        <v>1</v>
      </c>
      <c r="D7">
        <f>IF($B7=1,1,IF(INDEX('CMA function inputs'!$B$25:$L$30,MATCH('Vaal-Orange CMA'!$A$1,'CMA function inputs'!$A$25:$A$30,0),MATCH('Vaal-Orange CMA'!$A7,'CMA function inputs'!$B$24:$L$24,0))&lt;=D$2,1,0))</f>
        <v>1</v>
      </c>
      <c r="E7">
        <f>IF($B7=1,1,IF(INDEX('CMA function inputs'!$B$25:$L$30,MATCH('Vaal-Orange CMA'!$A$1,'CMA function inputs'!$A$25:$A$30,0),MATCH('Vaal-Orange CMA'!$A7,'CMA function inputs'!$B$24:$L$24,0))&lt;=E$2,1,0))</f>
        <v>1</v>
      </c>
      <c r="F7">
        <f>IF($B7=1,1,IF(INDEX('CMA function inputs'!$B$25:$L$30,MATCH('Vaal-Orange CMA'!$A$1,'CMA function inputs'!$A$25:$A$30,0),MATCH('Vaal-Orange CMA'!$A7,'CMA function inputs'!$B$24:$L$24,0))&lt;=F$2,1,0))</f>
        <v>1</v>
      </c>
      <c r="G7">
        <f>IF($B7=1,1,IF(INDEX('CMA function inputs'!$B$25:$L$30,MATCH('Vaal-Orange CMA'!$A$1,'CMA function inputs'!$A$25:$A$30,0),MATCH('Vaal-Orange CMA'!$A7,'CMA function inputs'!$B$24:$L$24,0))&lt;=G$2,1,0))</f>
        <v>1</v>
      </c>
      <c r="H7">
        <f>IF($B7=1,1,IF(INDEX('CMA function inputs'!$B$25:$L$30,MATCH('Vaal-Orange CMA'!$A$1,'CMA function inputs'!$A$25:$A$30,0),MATCH('Vaal-Orange CMA'!$A7,'CMA function inputs'!$B$24:$L$24,0))&lt;=H$2,1,0))</f>
        <v>1</v>
      </c>
      <c r="I7">
        <f>IF($B7=1,1,IF(INDEX('CMA function inputs'!$B$25:$L$30,MATCH('Vaal-Orange CMA'!$A$1,'CMA function inputs'!$A$25:$A$30,0),MATCH('Vaal-Orange CMA'!$A7,'CMA function inputs'!$B$24:$L$24,0))&lt;=I$2,1,0))</f>
        <v>1</v>
      </c>
      <c r="J7">
        <f>IF($B7=1,1,IF(INDEX('CMA function inputs'!$B$25:$L$30,MATCH('Vaal-Orange CMA'!$A$1,'CMA function inputs'!$A$25:$A$30,0),MATCH('Vaal-Orange CMA'!$A7,'CMA function inputs'!$B$24:$L$24,0))&lt;=J$2,1,0))</f>
        <v>1</v>
      </c>
      <c r="K7">
        <f>IF($B7=1,1,IF(INDEX('CMA function inputs'!$B$25:$L$30,MATCH('Vaal-Orange CMA'!$A$1,'CMA function inputs'!$A$25:$A$30,0),MATCH('Vaal-Orange CMA'!$A7,'CMA function inputs'!$B$24:$L$24,0))&lt;=K$2,1,0))</f>
        <v>1</v>
      </c>
    </row>
    <row r="8" spans="1:11" x14ac:dyDescent="0.25">
      <c r="A8" s="4" t="s">
        <v>13</v>
      </c>
      <c r="B8">
        <f>INDEX('CMA function inputs'!$B$17:$L$22,MATCH($A$1,'CMA function inputs'!$A$17:$A$22,0),MATCH(A8,'CMA function inputs'!$B$16:$L$16,0))</f>
        <v>1</v>
      </c>
      <c r="C8">
        <f>IF($B8=1,1,IF(INDEX('CMA function inputs'!$B$25:$L$30,MATCH('Vaal-Orange CMA'!$A$1,'CMA function inputs'!$A$25:$A$30,0),MATCH('Vaal-Orange CMA'!$A8,'CMA function inputs'!$B$24:$L$24,0))&lt;=C$2,1,0))</f>
        <v>1</v>
      </c>
      <c r="D8">
        <f>IF($B8=1,1,IF(INDEX('CMA function inputs'!$B$25:$L$30,MATCH('Vaal-Orange CMA'!$A$1,'CMA function inputs'!$A$25:$A$30,0),MATCH('Vaal-Orange CMA'!$A8,'CMA function inputs'!$B$24:$L$24,0))&lt;=D$2,1,0))</f>
        <v>1</v>
      </c>
      <c r="E8">
        <f>IF($B8=1,1,IF(INDEX('CMA function inputs'!$B$25:$L$30,MATCH('Vaal-Orange CMA'!$A$1,'CMA function inputs'!$A$25:$A$30,0),MATCH('Vaal-Orange CMA'!$A8,'CMA function inputs'!$B$24:$L$24,0))&lt;=E$2,1,0))</f>
        <v>1</v>
      </c>
      <c r="F8">
        <f>IF($B8=1,1,IF(INDEX('CMA function inputs'!$B$25:$L$30,MATCH('Vaal-Orange CMA'!$A$1,'CMA function inputs'!$A$25:$A$30,0),MATCH('Vaal-Orange CMA'!$A8,'CMA function inputs'!$B$24:$L$24,0))&lt;=F$2,1,0))</f>
        <v>1</v>
      </c>
      <c r="G8">
        <f>IF($B8=1,1,IF(INDEX('CMA function inputs'!$B$25:$L$30,MATCH('Vaal-Orange CMA'!$A$1,'CMA function inputs'!$A$25:$A$30,0),MATCH('Vaal-Orange CMA'!$A8,'CMA function inputs'!$B$24:$L$24,0))&lt;=G$2,1,0))</f>
        <v>1</v>
      </c>
      <c r="H8">
        <f>IF($B8=1,1,IF(INDEX('CMA function inputs'!$B$25:$L$30,MATCH('Vaal-Orange CMA'!$A$1,'CMA function inputs'!$A$25:$A$30,0),MATCH('Vaal-Orange CMA'!$A8,'CMA function inputs'!$B$24:$L$24,0))&lt;=H$2,1,0))</f>
        <v>1</v>
      </c>
      <c r="I8">
        <f>IF($B8=1,1,IF(INDEX('CMA function inputs'!$B$25:$L$30,MATCH('Vaal-Orange CMA'!$A$1,'CMA function inputs'!$A$25:$A$30,0),MATCH('Vaal-Orange CMA'!$A8,'CMA function inputs'!$B$24:$L$24,0))&lt;=I$2,1,0))</f>
        <v>1</v>
      </c>
      <c r="J8">
        <f>IF($B8=1,1,IF(INDEX('CMA function inputs'!$B$25:$L$30,MATCH('Vaal-Orange CMA'!$A$1,'CMA function inputs'!$A$25:$A$30,0),MATCH('Vaal-Orange CMA'!$A8,'CMA function inputs'!$B$24:$L$24,0))&lt;=J$2,1,0))</f>
        <v>1</v>
      </c>
      <c r="K8">
        <f>IF($B8=1,1,IF(INDEX('CMA function inputs'!$B$25:$L$30,MATCH('Vaal-Orange CMA'!$A$1,'CMA function inputs'!$A$25:$A$30,0),MATCH('Vaal-Orange CMA'!$A8,'CMA function inputs'!$B$24:$L$24,0))&lt;=K$2,1,0))</f>
        <v>1</v>
      </c>
    </row>
    <row r="9" spans="1:11" x14ac:dyDescent="0.25">
      <c r="A9" s="4" t="s">
        <v>14</v>
      </c>
      <c r="B9">
        <f>INDEX('CMA function inputs'!$B$17:$L$22,MATCH($A$1,'CMA function inputs'!$A$17:$A$22,0),MATCH(A9,'CMA function inputs'!$B$16:$L$16,0))</f>
        <v>1</v>
      </c>
      <c r="C9">
        <f>IF($B9=1,1,IF(INDEX('CMA function inputs'!$B$25:$L$30,MATCH('Vaal-Orange CMA'!$A$1,'CMA function inputs'!$A$25:$A$30,0),MATCH('Vaal-Orange CMA'!$A9,'CMA function inputs'!$B$24:$L$24,0))&lt;=C$2,1,0))</f>
        <v>1</v>
      </c>
      <c r="D9">
        <f>IF($B9=1,1,IF(INDEX('CMA function inputs'!$B$25:$L$30,MATCH('Vaal-Orange CMA'!$A$1,'CMA function inputs'!$A$25:$A$30,0),MATCH('Vaal-Orange CMA'!$A9,'CMA function inputs'!$B$24:$L$24,0))&lt;=D$2,1,0))</f>
        <v>1</v>
      </c>
      <c r="E9">
        <f>IF($B9=1,1,IF(INDEX('CMA function inputs'!$B$25:$L$30,MATCH('Vaal-Orange CMA'!$A$1,'CMA function inputs'!$A$25:$A$30,0),MATCH('Vaal-Orange CMA'!$A9,'CMA function inputs'!$B$24:$L$24,0))&lt;=E$2,1,0))</f>
        <v>1</v>
      </c>
      <c r="F9">
        <f>IF($B9=1,1,IF(INDEX('CMA function inputs'!$B$25:$L$30,MATCH('Vaal-Orange CMA'!$A$1,'CMA function inputs'!$A$25:$A$30,0),MATCH('Vaal-Orange CMA'!$A9,'CMA function inputs'!$B$24:$L$24,0))&lt;=F$2,1,0))</f>
        <v>1</v>
      </c>
      <c r="G9">
        <f>IF($B9=1,1,IF(INDEX('CMA function inputs'!$B$25:$L$30,MATCH('Vaal-Orange CMA'!$A$1,'CMA function inputs'!$A$25:$A$30,0),MATCH('Vaal-Orange CMA'!$A9,'CMA function inputs'!$B$24:$L$24,0))&lt;=G$2,1,0))</f>
        <v>1</v>
      </c>
      <c r="H9">
        <f>IF($B9=1,1,IF(INDEX('CMA function inputs'!$B$25:$L$30,MATCH('Vaal-Orange CMA'!$A$1,'CMA function inputs'!$A$25:$A$30,0),MATCH('Vaal-Orange CMA'!$A9,'CMA function inputs'!$B$24:$L$24,0))&lt;=H$2,1,0))</f>
        <v>1</v>
      </c>
      <c r="I9">
        <f>IF($B9=1,1,IF(INDEX('CMA function inputs'!$B$25:$L$30,MATCH('Vaal-Orange CMA'!$A$1,'CMA function inputs'!$A$25:$A$30,0),MATCH('Vaal-Orange CMA'!$A9,'CMA function inputs'!$B$24:$L$24,0))&lt;=I$2,1,0))</f>
        <v>1</v>
      </c>
      <c r="J9">
        <f>IF($B9=1,1,IF(INDEX('CMA function inputs'!$B$25:$L$30,MATCH('Vaal-Orange CMA'!$A$1,'CMA function inputs'!$A$25:$A$30,0),MATCH('Vaal-Orange CMA'!$A9,'CMA function inputs'!$B$24:$L$24,0))&lt;=J$2,1,0))</f>
        <v>1</v>
      </c>
      <c r="K9">
        <f>IF($B9=1,1,IF(INDEX('CMA function inputs'!$B$25:$L$30,MATCH('Vaal-Orange CMA'!$A$1,'CMA function inputs'!$A$25:$A$30,0),MATCH('Vaal-Orange CMA'!$A9,'CMA function inputs'!$B$24:$L$24,0))&lt;=K$2,1,0))</f>
        <v>1</v>
      </c>
    </row>
    <row r="10" spans="1:11" x14ac:dyDescent="0.25">
      <c r="A10" s="4" t="s">
        <v>125</v>
      </c>
      <c r="B10">
        <f>INDEX('CMA function inputs'!$B$17:$L$22,MATCH($A$1,'CMA function inputs'!$A$17:$A$22,0),MATCH(A10,'CMA function inputs'!$B$16:$L$16,0))</f>
        <v>1</v>
      </c>
      <c r="C10">
        <f>IF($B10=1,1,IF(INDEX('CMA function inputs'!$B$25:$L$30,MATCH('Vaal-Orange CMA'!$A$1,'CMA function inputs'!$A$25:$A$30,0),MATCH('Vaal-Orange CMA'!$A10,'CMA function inputs'!$B$24:$L$24,0))&lt;=C$2,1,0))</f>
        <v>1</v>
      </c>
      <c r="D10">
        <f>IF($B10=1,1,IF(INDEX('CMA function inputs'!$B$25:$L$30,MATCH('Vaal-Orange CMA'!$A$1,'CMA function inputs'!$A$25:$A$30,0),MATCH('Vaal-Orange CMA'!$A10,'CMA function inputs'!$B$24:$L$24,0))&lt;=D$2,1,0))</f>
        <v>1</v>
      </c>
      <c r="E10">
        <f>IF($B10=1,1,IF(INDEX('CMA function inputs'!$B$25:$L$30,MATCH('Vaal-Orange CMA'!$A$1,'CMA function inputs'!$A$25:$A$30,0),MATCH('Vaal-Orange CMA'!$A10,'CMA function inputs'!$B$24:$L$24,0))&lt;=E$2,1,0))</f>
        <v>1</v>
      </c>
      <c r="F10">
        <f>IF($B10=1,1,IF(INDEX('CMA function inputs'!$B$25:$L$30,MATCH('Vaal-Orange CMA'!$A$1,'CMA function inputs'!$A$25:$A$30,0),MATCH('Vaal-Orange CMA'!$A10,'CMA function inputs'!$B$24:$L$24,0))&lt;=F$2,1,0))</f>
        <v>1</v>
      </c>
      <c r="G10">
        <f>IF($B10=1,1,IF(INDEX('CMA function inputs'!$B$25:$L$30,MATCH('Vaal-Orange CMA'!$A$1,'CMA function inputs'!$A$25:$A$30,0),MATCH('Vaal-Orange CMA'!$A10,'CMA function inputs'!$B$24:$L$24,0))&lt;=G$2,1,0))</f>
        <v>1</v>
      </c>
      <c r="H10">
        <f>IF($B10=1,1,IF(INDEX('CMA function inputs'!$B$25:$L$30,MATCH('Vaal-Orange CMA'!$A$1,'CMA function inputs'!$A$25:$A$30,0),MATCH('Vaal-Orange CMA'!$A10,'CMA function inputs'!$B$24:$L$24,0))&lt;=H$2,1,0))</f>
        <v>1</v>
      </c>
      <c r="I10">
        <f>IF($B10=1,1,IF(INDEX('CMA function inputs'!$B$25:$L$30,MATCH('Vaal-Orange CMA'!$A$1,'CMA function inputs'!$A$25:$A$30,0),MATCH('Vaal-Orange CMA'!$A10,'CMA function inputs'!$B$24:$L$24,0))&lt;=I$2,1,0))</f>
        <v>1</v>
      </c>
      <c r="J10">
        <f>IF($B10=1,1,IF(INDEX('CMA function inputs'!$B$25:$L$30,MATCH('Vaal-Orange CMA'!$A$1,'CMA function inputs'!$A$25:$A$30,0),MATCH('Vaal-Orange CMA'!$A10,'CMA function inputs'!$B$24:$L$24,0))&lt;=J$2,1,0))</f>
        <v>1</v>
      </c>
      <c r="K10">
        <f>IF($B10=1,1,IF(INDEX('CMA function inputs'!$B$25:$L$30,MATCH('Vaal-Orange CMA'!$A$1,'CMA function inputs'!$A$25:$A$30,0),MATCH('Vaal-Orange CMA'!$A10,'CMA function inputs'!$B$24:$L$24,0))&lt;=K$2,1,0))</f>
        <v>1</v>
      </c>
    </row>
    <row r="11" spans="1:11" x14ac:dyDescent="0.25">
      <c r="A11" s="4" t="s">
        <v>37</v>
      </c>
      <c r="B11">
        <f>INDEX('CMA function inputs'!$B$17:$L$22,MATCH($A$1,'CMA function inputs'!$A$17:$A$22,0),MATCH(A11,'CMA function inputs'!$B$16:$L$16,0))</f>
        <v>1</v>
      </c>
      <c r="C11">
        <f>IF($B11=1,1,IF(INDEX('CMA function inputs'!$B$25:$L$30,MATCH('Vaal-Orange CMA'!$A$1,'CMA function inputs'!$A$25:$A$30,0),MATCH('Vaal-Orange CMA'!$A11,'CMA function inputs'!$B$24:$L$24,0))&lt;=C$2,1,0))</f>
        <v>1</v>
      </c>
      <c r="D11">
        <f>IF($B11=1,1,IF(INDEX('CMA function inputs'!$B$25:$L$30,MATCH('Vaal-Orange CMA'!$A$1,'CMA function inputs'!$A$25:$A$30,0),MATCH('Vaal-Orange CMA'!$A11,'CMA function inputs'!$B$24:$L$24,0))&lt;=D$2,1,0))</f>
        <v>1</v>
      </c>
      <c r="E11">
        <f>IF($B11=1,1,IF(INDEX('CMA function inputs'!$B$25:$L$30,MATCH('Vaal-Orange CMA'!$A$1,'CMA function inputs'!$A$25:$A$30,0),MATCH('Vaal-Orange CMA'!$A11,'CMA function inputs'!$B$24:$L$24,0))&lt;=E$2,1,0))</f>
        <v>1</v>
      </c>
      <c r="F11">
        <f>IF($B11=1,1,IF(INDEX('CMA function inputs'!$B$25:$L$30,MATCH('Vaal-Orange CMA'!$A$1,'CMA function inputs'!$A$25:$A$30,0),MATCH('Vaal-Orange CMA'!$A11,'CMA function inputs'!$B$24:$L$24,0))&lt;=F$2,1,0))</f>
        <v>1</v>
      </c>
      <c r="G11">
        <f>IF($B11=1,1,IF(INDEX('CMA function inputs'!$B$25:$L$30,MATCH('Vaal-Orange CMA'!$A$1,'CMA function inputs'!$A$25:$A$30,0),MATCH('Vaal-Orange CMA'!$A11,'CMA function inputs'!$B$24:$L$24,0))&lt;=G$2,1,0))</f>
        <v>1</v>
      </c>
      <c r="H11">
        <f>IF($B11=1,1,IF(INDEX('CMA function inputs'!$B$25:$L$30,MATCH('Vaal-Orange CMA'!$A$1,'CMA function inputs'!$A$25:$A$30,0),MATCH('Vaal-Orange CMA'!$A11,'CMA function inputs'!$B$24:$L$24,0))&lt;=H$2,1,0))</f>
        <v>1</v>
      </c>
      <c r="I11">
        <f>IF($B11=1,1,IF(INDEX('CMA function inputs'!$B$25:$L$30,MATCH('Vaal-Orange CMA'!$A$1,'CMA function inputs'!$A$25:$A$30,0),MATCH('Vaal-Orange CMA'!$A11,'CMA function inputs'!$B$24:$L$24,0))&lt;=I$2,1,0))</f>
        <v>1</v>
      </c>
      <c r="J11">
        <f>IF($B11=1,1,IF(INDEX('CMA function inputs'!$B$25:$L$30,MATCH('Vaal-Orange CMA'!$A$1,'CMA function inputs'!$A$25:$A$30,0),MATCH('Vaal-Orange CMA'!$A11,'CMA function inputs'!$B$24:$L$24,0))&lt;=J$2,1,0))</f>
        <v>1</v>
      </c>
      <c r="K11">
        <f>IF($B11=1,1,IF(INDEX('CMA function inputs'!$B$25:$L$30,MATCH('Vaal-Orange CMA'!$A$1,'CMA function inputs'!$A$25:$A$30,0),MATCH('Vaal-Orange CMA'!$A11,'CMA function inputs'!$B$24:$L$24,0))&lt;=K$2,1,0))</f>
        <v>1</v>
      </c>
    </row>
    <row r="12" spans="1:11" x14ac:dyDescent="0.25">
      <c r="A12" s="4" t="s">
        <v>38</v>
      </c>
      <c r="B12">
        <f>INDEX('CMA function inputs'!$B$17:$L$22,MATCH($A$1,'CMA function inputs'!$A$17:$A$22,0),MATCH(A12,'CMA function inputs'!$B$16:$L$16,0))</f>
        <v>1</v>
      </c>
      <c r="C12">
        <f>IF($B12=1,1,IF(INDEX('CMA function inputs'!$B$25:$L$30,MATCH('Vaal-Orange CMA'!$A$1,'CMA function inputs'!$A$25:$A$30,0),MATCH('Vaal-Orange CMA'!$A12,'CMA function inputs'!$B$24:$L$24,0))&lt;=C$2,1,0))</f>
        <v>1</v>
      </c>
      <c r="D12">
        <f>IF($B12=1,1,IF(INDEX('CMA function inputs'!$B$25:$L$30,MATCH('Vaal-Orange CMA'!$A$1,'CMA function inputs'!$A$25:$A$30,0),MATCH('Vaal-Orange CMA'!$A12,'CMA function inputs'!$B$24:$L$24,0))&lt;=D$2,1,0))</f>
        <v>1</v>
      </c>
      <c r="E12">
        <f>IF($B12=1,1,IF(INDEX('CMA function inputs'!$B$25:$L$30,MATCH('Vaal-Orange CMA'!$A$1,'CMA function inputs'!$A$25:$A$30,0),MATCH('Vaal-Orange CMA'!$A12,'CMA function inputs'!$B$24:$L$24,0))&lt;=E$2,1,0))</f>
        <v>1</v>
      </c>
      <c r="F12">
        <f>IF($B12=1,1,IF(INDEX('CMA function inputs'!$B$25:$L$30,MATCH('Vaal-Orange CMA'!$A$1,'CMA function inputs'!$A$25:$A$30,0),MATCH('Vaal-Orange CMA'!$A12,'CMA function inputs'!$B$24:$L$24,0))&lt;=F$2,1,0))</f>
        <v>1</v>
      </c>
      <c r="G12">
        <f>IF($B12=1,1,IF(INDEX('CMA function inputs'!$B$25:$L$30,MATCH('Vaal-Orange CMA'!$A$1,'CMA function inputs'!$A$25:$A$30,0),MATCH('Vaal-Orange CMA'!$A12,'CMA function inputs'!$B$24:$L$24,0))&lt;=G$2,1,0))</f>
        <v>1</v>
      </c>
      <c r="H12">
        <f>IF($B12=1,1,IF(INDEX('CMA function inputs'!$B$25:$L$30,MATCH('Vaal-Orange CMA'!$A$1,'CMA function inputs'!$A$25:$A$30,0),MATCH('Vaal-Orange CMA'!$A12,'CMA function inputs'!$B$24:$L$24,0))&lt;=H$2,1,0))</f>
        <v>1</v>
      </c>
      <c r="I12">
        <f>IF($B12=1,1,IF(INDEX('CMA function inputs'!$B$25:$L$30,MATCH('Vaal-Orange CMA'!$A$1,'CMA function inputs'!$A$25:$A$30,0),MATCH('Vaal-Orange CMA'!$A12,'CMA function inputs'!$B$24:$L$24,0))&lt;=I$2,1,0))</f>
        <v>1</v>
      </c>
      <c r="J12">
        <f>IF($B12=1,1,IF(INDEX('CMA function inputs'!$B$25:$L$30,MATCH('Vaal-Orange CMA'!$A$1,'CMA function inputs'!$A$25:$A$30,0),MATCH('Vaal-Orange CMA'!$A12,'CMA function inputs'!$B$24:$L$24,0))&lt;=J$2,1,0))</f>
        <v>1</v>
      </c>
      <c r="K12">
        <f>IF($B12=1,1,IF(INDEX('CMA function inputs'!$B$25:$L$30,MATCH('Vaal-Orange CMA'!$A$1,'CMA function inputs'!$A$25:$A$30,0),MATCH('Vaal-Orange CMA'!$A12,'CMA function inputs'!$B$24:$L$24,0))&lt;=K$2,1,0))</f>
        <v>1</v>
      </c>
    </row>
    <row r="13" spans="1:11" x14ac:dyDescent="0.25">
      <c r="A13" s="4" t="s">
        <v>15</v>
      </c>
      <c r="B13">
        <f>INDEX('CMA function inputs'!$B$17:$L$22,MATCH($A$1,'CMA function inputs'!$A$17:$A$22,0),MATCH(A13,'CMA function inputs'!$B$16:$L$16,0))</f>
        <v>1</v>
      </c>
      <c r="C13">
        <f>IF($B13=1,1,IF(INDEX('CMA function inputs'!$B$25:$L$30,MATCH('Vaal-Orange CMA'!$A$1,'CMA function inputs'!$A$25:$A$30,0),MATCH('Vaal-Orange CMA'!$A13,'CMA function inputs'!$B$24:$L$24,0))&lt;=C$2,1,0))</f>
        <v>1</v>
      </c>
      <c r="D13">
        <f>IF($B13=1,1,IF(INDEX('CMA function inputs'!$B$25:$L$30,MATCH('Vaal-Orange CMA'!$A$1,'CMA function inputs'!$A$25:$A$30,0),MATCH('Vaal-Orange CMA'!$A13,'CMA function inputs'!$B$24:$L$24,0))&lt;=D$2,1,0))</f>
        <v>1</v>
      </c>
      <c r="E13">
        <f>IF($B13=1,1,IF(INDEX('CMA function inputs'!$B$25:$L$30,MATCH('Vaal-Orange CMA'!$A$1,'CMA function inputs'!$A$25:$A$30,0),MATCH('Vaal-Orange CMA'!$A13,'CMA function inputs'!$B$24:$L$24,0))&lt;=E$2,1,0))</f>
        <v>1</v>
      </c>
      <c r="F13">
        <f>IF($B13=1,1,IF(INDEX('CMA function inputs'!$B$25:$L$30,MATCH('Vaal-Orange CMA'!$A$1,'CMA function inputs'!$A$25:$A$30,0),MATCH('Vaal-Orange CMA'!$A13,'CMA function inputs'!$B$24:$L$24,0))&lt;=F$2,1,0))</f>
        <v>1</v>
      </c>
      <c r="G13">
        <f>IF($B13=1,1,IF(INDEX('CMA function inputs'!$B$25:$L$30,MATCH('Vaal-Orange CMA'!$A$1,'CMA function inputs'!$A$25:$A$30,0),MATCH('Vaal-Orange CMA'!$A13,'CMA function inputs'!$B$24:$L$24,0))&lt;=G$2,1,0))</f>
        <v>1</v>
      </c>
      <c r="H13">
        <f>IF($B13=1,1,IF(INDEX('CMA function inputs'!$B$25:$L$30,MATCH('Vaal-Orange CMA'!$A$1,'CMA function inputs'!$A$25:$A$30,0),MATCH('Vaal-Orange CMA'!$A13,'CMA function inputs'!$B$24:$L$24,0))&lt;=H$2,1,0))</f>
        <v>1</v>
      </c>
      <c r="I13">
        <f>IF($B13=1,1,IF(INDEX('CMA function inputs'!$B$25:$L$30,MATCH('Vaal-Orange CMA'!$A$1,'CMA function inputs'!$A$25:$A$30,0),MATCH('Vaal-Orange CMA'!$A13,'CMA function inputs'!$B$24:$L$24,0))&lt;=I$2,1,0))</f>
        <v>1</v>
      </c>
      <c r="J13">
        <f>IF($B13=1,1,IF(INDEX('CMA function inputs'!$B$25:$L$30,MATCH('Vaal-Orange CMA'!$A$1,'CMA function inputs'!$A$25:$A$30,0),MATCH('Vaal-Orange CMA'!$A13,'CMA function inputs'!$B$24:$L$24,0))&lt;=J$2,1,0))</f>
        <v>1</v>
      </c>
      <c r="K13">
        <f>IF($B13=1,1,IF(INDEX('CMA function inputs'!$B$25:$L$30,MATCH('Vaal-Orange CMA'!$A$1,'CMA function inputs'!$A$25:$A$30,0),MATCH('Vaal-Orange CMA'!$A13,'CMA function inputs'!$B$24:$L$24,0))&lt;=K$2,1,0))</f>
        <v>1</v>
      </c>
    </row>
    <row r="14" spans="1:11" x14ac:dyDescent="0.25">
      <c r="A14" s="4"/>
    </row>
    <row r="15" spans="1:11" x14ac:dyDescent="0.25">
      <c r="A15" s="4"/>
      <c r="B15" t="s">
        <v>55</v>
      </c>
      <c r="C15" t="s">
        <v>20</v>
      </c>
      <c r="D15" t="s">
        <v>21</v>
      </c>
      <c r="E15" t="s">
        <v>51</v>
      </c>
    </row>
    <row r="16" spans="1:11" x14ac:dyDescent="0.25">
      <c r="A16" s="4" t="s">
        <v>35</v>
      </c>
      <c r="B16" s="9">
        <f>'CMA function inputs'!B3</f>
        <v>3.1046720286065279E-3</v>
      </c>
      <c r="C16" t="str">
        <f>'CMA function inputs'!C3</f>
        <v>Registered volume</v>
      </c>
      <c r="D16" s="8">
        <f>INDEX('Data inputs'!$B$4:$D$9,MATCH($A$1,'Data inputs'!$A$4:$A$9,0),MATCH(C16,'Data inputs'!$B$3:$D$3,0))</f>
        <v>8542687374</v>
      </c>
      <c r="E16" s="5">
        <f>B16*D16</f>
        <v>26522242.539187953</v>
      </c>
    </row>
    <row r="17" spans="1:11" x14ac:dyDescent="0.25">
      <c r="A17" s="4" t="s">
        <v>36</v>
      </c>
      <c r="B17" s="9">
        <f>'CMA function inputs'!B4</f>
        <v>1.7019297206331829E-3</v>
      </c>
      <c r="C17" t="str">
        <f>'CMA function inputs'!C4</f>
        <v>Registered volume</v>
      </c>
      <c r="D17" s="8">
        <f>INDEX('Data inputs'!$B$4:$D$9,MATCH($A$1,'Data inputs'!$A$4:$A$9,0),MATCH(C17,'Data inputs'!$B$3:$D$3,0))</f>
        <v>8542687374</v>
      </c>
      <c r="E17" s="5">
        <f t="shared" ref="E17:E26" si="1">B17*D17</f>
        <v>14539053.535888439</v>
      </c>
    </row>
    <row r="18" spans="1:11" x14ac:dyDescent="0.25">
      <c r="A18" s="4" t="s">
        <v>11</v>
      </c>
      <c r="B18" s="82">
        <v>0</v>
      </c>
      <c r="C18" s="82">
        <v>0</v>
      </c>
      <c r="D18" s="82">
        <v>0</v>
      </c>
      <c r="E18" s="82">
        <v>0</v>
      </c>
      <c r="F18" s="83" t="s">
        <v>112</v>
      </c>
    </row>
    <row r="19" spans="1:11" x14ac:dyDescent="0.25">
      <c r="A19" s="4" t="s">
        <v>124</v>
      </c>
      <c r="B19" s="9">
        <f>'CMA function inputs'!B6</f>
        <v>15.079185256950241</v>
      </c>
      <c r="C19" t="str">
        <f>'CMA function inputs'!C6</f>
        <v>Area</v>
      </c>
      <c r="D19" s="8">
        <f>INDEX('Data inputs'!$B$4:$D$9,MATCH($A$1,'Data inputs'!$A$4:$A$9,0),MATCH(C19,'Data inputs'!$B$3:$D$3,0))</f>
        <v>600989.77801799995</v>
      </c>
      <c r="E19" s="5">
        <f t="shared" si="1"/>
        <v>9062436.2002668232</v>
      </c>
    </row>
    <row r="20" spans="1:11" x14ac:dyDescent="0.25">
      <c r="A20" s="4" t="s">
        <v>12</v>
      </c>
      <c r="B20" s="9">
        <f>'CMA function inputs'!B7</f>
        <v>9.7869565022375288E-3</v>
      </c>
      <c r="C20" t="str">
        <f>'CMA function inputs'!C7</f>
        <v>Registered volume</v>
      </c>
      <c r="D20" s="8">
        <f>INDEX('Data inputs'!$B$4:$D$9,MATCH($A$1,'Data inputs'!$A$4:$A$9,0),MATCH(C20,'Data inputs'!$B$3:$D$3,0))</f>
        <v>8542687374</v>
      </c>
      <c r="E20" s="5">
        <f t="shared" si="1"/>
        <v>83606909.741551742</v>
      </c>
    </row>
    <row r="21" spans="1:11" x14ac:dyDescent="0.25">
      <c r="A21" s="4" t="s">
        <v>13</v>
      </c>
      <c r="B21" s="82">
        <v>0</v>
      </c>
      <c r="C21" s="82">
        <v>0</v>
      </c>
      <c r="D21" s="82">
        <v>0</v>
      </c>
      <c r="E21" s="82">
        <v>0</v>
      </c>
      <c r="F21" s="83" t="s">
        <v>112</v>
      </c>
    </row>
    <row r="22" spans="1:11" x14ac:dyDescent="0.25">
      <c r="A22" s="4" t="s">
        <v>14</v>
      </c>
      <c r="B22" s="82">
        <v>0</v>
      </c>
      <c r="C22" s="82">
        <v>0</v>
      </c>
      <c r="D22" s="82">
        <v>0</v>
      </c>
      <c r="E22" s="82">
        <v>0</v>
      </c>
      <c r="F22" s="83" t="s">
        <v>112</v>
      </c>
    </row>
    <row r="23" spans="1:11" x14ac:dyDescent="0.25">
      <c r="A23" s="4" t="s">
        <v>125</v>
      </c>
      <c r="B23" s="9">
        <f>'CMA function inputs'!B10</f>
        <v>3.2367164664335804E-4</v>
      </c>
      <c r="C23" t="str">
        <f>'CMA function inputs'!C10</f>
        <v>Registered volume</v>
      </c>
      <c r="D23" s="8">
        <f>INDEX('Data inputs'!$B$4:$D$9,MATCH($A$1,'Data inputs'!$A$4:$A$9,0),MATCH(C23,'Data inputs'!$B$3:$D$3,0))</f>
        <v>8542687374</v>
      </c>
      <c r="E23" s="5">
        <f t="shared" ref="E23" si="2">B23*D23</f>
        <v>2765025.6891020043</v>
      </c>
      <c r="F23" s="83"/>
    </row>
    <row r="24" spans="1:11" x14ac:dyDescent="0.25">
      <c r="A24" s="4" t="s">
        <v>37</v>
      </c>
      <c r="B24" s="9">
        <f>'CMA function inputs'!B11</f>
        <v>9.4147590178041175E-3</v>
      </c>
      <c r="C24" t="str">
        <f>'CMA function inputs'!C11</f>
        <v>Registered volume</v>
      </c>
      <c r="D24" s="8">
        <f>INDEX('Data inputs'!$B$4:$D$9,MATCH($A$1,'Data inputs'!$A$4:$A$9,0),MATCH(C24,'Data inputs'!$B$3:$D$3,0))</f>
        <v>8542687374</v>
      </c>
      <c r="E24" s="5">
        <f t="shared" si="1"/>
        <v>80427342.990647882</v>
      </c>
    </row>
    <row r="25" spans="1:11" x14ac:dyDescent="0.25">
      <c r="A25" s="4" t="s">
        <v>38</v>
      </c>
      <c r="B25" s="9">
        <f>'CMA function inputs'!B12</f>
        <v>1.262070332489598E-3</v>
      </c>
      <c r="C25" t="str">
        <f>'CMA function inputs'!C12</f>
        <v>Registered volume</v>
      </c>
      <c r="D25" s="8">
        <f>INDEX('Data inputs'!$B$4:$D$9,MATCH($A$1,'Data inputs'!$A$4:$A$9,0),MATCH(C25,'Data inputs'!$B$3:$D$3,0))</f>
        <v>8542687374</v>
      </c>
      <c r="E25" s="5">
        <f t="shared" si="1"/>
        <v>10781472.294458872</v>
      </c>
    </row>
    <row r="26" spans="1:11" x14ac:dyDescent="0.25">
      <c r="A26" s="4" t="s">
        <v>15</v>
      </c>
      <c r="B26" s="9">
        <f>'CMA function inputs'!B13</f>
        <v>1.0919241845339479E-2</v>
      </c>
      <c r="C26" t="str">
        <f>'CMA function inputs'!C13</f>
        <v>Registered volume</v>
      </c>
      <c r="D26" s="8">
        <f>INDEX('Data inputs'!$B$4:$D$9,MATCH($A$1,'Data inputs'!$A$4:$A$9,0),MATCH(C26,'Data inputs'!$B$3:$D$3,0))</f>
        <v>8542687374</v>
      </c>
      <c r="E26" s="13">
        <f t="shared" si="1"/>
        <v>93279669.445834026</v>
      </c>
    </row>
    <row r="27" spans="1:11" x14ac:dyDescent="0.25">
      <c r="E27" s="14">
        <f>SUM(E16:E26)</f>
        <v>320984152.43693775</v>
      </c>
    </row>
    <row r="28" spans="1:11" s="3" customFormat="1" x14ac:dyDescent="0.25">
      <c r="A28" s="2"/>
    </row>
    <row r="29" spans="1:11" x14ac:dyDescent="0.25">
      <c r="A29" s="70" t="s">
        <v>22</v>
      </c>
      <c r="B29" s="7">
        <f>'Summary dashboard'!B3</f>
        <v>1</v>
      </c>
      <c r="C29" s="6">
        <f t="shared" ref="C29:J29" si="3">B29+($K$29-$B$29)/9</f>
        <v>1</v>
      </c>
      <c r="D29" s="6">
        <f t="shared" si="3"/>
        <v>1</v>
      </c>
      <c r="E29" s="6">
        <f t="shared" si="3"/>
        <v>1</v>
      </c>
      <c r="F29" s="6">
        <f t="shared" si="3"/>
        <v>1</v>
      </c>
      <c r="G29" s="6">
        <f t="shared" si="3"/>
        <v>1</v>
      </c>
      <c r="H29" s="6">
        <f t="shared" si="3"/>
        <v>1</v>
      </c>
      <c r="I29" s="6">
        <f t="shared" si="3"/>
        <v>1</v>
      </c>
      <c r="J29" s="6">
        <f t="shared" si="3"/>
        <v>1</v>
      </c>
      <c r="K29" s="7">
        <f>'Summary dashboard'!C3</f>
        <v>1</v>
      </c>
    </row>
    <row r="30" spans="1:11" x14ac:dyDescent="0.25">
      <c r="B30" s="12" t="str">
        <f>'Summary dashboard'!C4</f>
        <v>2023</v>
      </c>
      <c r="C30" s="12">
        <f>B30+1</f>
        <v>2024</v>
      </c>
      <c r="D30" s="12">
        <f t="shared" ref="D30:J30" si="4">C30+1</f>
        <v>2025</v>
      </c>
      <c r="E30" s="12">
        <f t="shared" si="4"/>
        <v>2026</v>
      </c>
      <c r="F30" s="12">
        <f t="shared" si="4"/>
        <v>2027</v>
      </c>
      <c r="G30" s="12">
        <f t="shared" si="4"/>
        <v>2028</v>
      </c>
      <c r="H30" s="12">
        <f t="shared" si="4"/>
        <v>2029</v>
      </c>
      <c r="I30" s="12">
        <f t="shared" si="4"/>
        <v>2030</v>
      </c>
      <c r="J30" s="12">
        <f t="shared" si="4"/>
        <v>2031</v>
      </c>
      <c r="K30" s="12">
        <f>J30+1</f>
        <v>2032</v>
      </c>
    </row>
    <row r="31" spans="1:11" x14ac:dyDescent="0.25">
      <c r="A31" s="4" t="s">
        <v>35</v>
      </c>
      <c r="B31" s="16">
        <f>IF(B3=1,B$29,0)</f>
        <v>1</v>
      </c>
      <c r="C31" s="16">
        <f t="shared" ref="C31:K41" si="5">IF(IF(C3&gt;B3,$B$29,B31+($K$29-$B$29)/9)&lt;0,0,IF(C3&gt;B3,$B$29,B31+($K$29-$B$29)/9))</f>
        <v>1</v>
      </c>
      <c r="D31" s="16">
        <f t="shared" si="5"/>
        <v>1</v>
      </c>
      <c r="E31" s="16">
        <f>IF(IF(E3&gt;D3,$B$29,D31+($K$29-$B$29)/9)&lt;0,0,IF(E3&gt;D3,$B$29,D31+($K$29-$B$29)/9))</f>
        <v>1</v>
      </c>
      <c r="F31" s="16">
        <f t="shared" si="5"/>
        <v>1</v>
      </c>
      <c r="G31" s="16">
        <f t="shared" si="5"/>
        <v>1</v>
      </c>
      <c r="H31" s="16">
        <f t="shared" si="5"/>
        <v>1</v>
      </c>
      <c r="I31" s="16">
        <f t="shared" si="5"/>
        <v>1</v>
      </c>
      <c r="J31" s="16">
        <f t="shared" si="5"/>
        <v>1</v>
      </c>
      <c r="K31" s="16">
        <f t="shared" si="5"/>
        <v>1</v>
      </c>
    </row>
    <row r="32" spans="1:11" x14ac:dyDescent="0.25">
      <c r="A32" s="4" t="s">
        <v>36</v>
      </c>
      <c r="B32" s="16">
        <f t="shared" ref="B32:B41" si="6">IF(B4=1,B$29,0)</f>
        <v>1</v>
      </c>
      <c r="C32" s="16">
        <f t="shared" si="5"/>
        <v>1</v>
      </c>
      <c r="D32" s="16">
        <f t="shared" si="5"/>
        <v>1</v>
      </c>
      <c r="E32" s="16">
        <f t="shared" si="5"/>
        <v>1</v>
      </c>
      <c r="F32" s="16">
        <f t="shared" si="5"/>
        <v>1</v>
      </c>
      <c r="G32" s="16">
        <f t="shared" si="5"/>
        <v>1</v>
      </c>
      <c r="H32" s="16">
        <f t="shared" si="5"/>
        <v>1</v>
      </c>
      <c r="I32" s="16">
        <f t="shared" si="5"/>
        <v>1</v>
      </c>
      <c r="J32" s="16">
        <f t="shared" si="5"/>
        <v>1</v>
      </c>
      <c r="K32" s="16">
        <f t="shared" si="5"/>
        <v>1</v>
      </c>
    </row>
    <row r="33" spans="1:14" x14ac:dyDescent="0.25">
      <c r="A33" s="4" t="s">
        <v>11</v>
      </c>
      <c r="B33" s="16">
        <f t="shared" si="6"/>
        <v>1</v>
      </c>
      <c r="C33" s="16">
        <f t="shared" si="5"/>
        <v>1</v>
      </c>
      <c r="D33" s="16">
        <f>IF(IF(D5&gt;C5,$B$29,C33+($K$29-$B$29)/9)&lt;0,0,IF(D5&gt;C5,$B$29,C33+($K$29-$B$29)/9))</f>
        <v>1</v>
      </c>
      <c r="E33" s="16">
        <f t="shared" si="5"/>
        <v>1</v>
      </c>
      <c r="F33" s="16">
        <f t="shared" si="5"/>
        <v>1</v>
      </c>
      <c r="G33" s="16">
        <f t="shared" si="5"/>
        <v>1</v>
      </c>
      <c r="H33" s="16">
        <f t="shared" si="5"/>
        <v>1</v>
      </c>
      <c r="I33" s="16">
        <f t="shared" si="5"/>
        <v>1</v>
      </c>
      <c r="J33" s="16">
        <f t="shared" si="5"/>
        <v>1</v>
      </c>
      <c r="K33" s="16">
        <f t="shared" si="5"/>
        <v>1</v>
      </c>
    </row>
    <row r="34" spans="1:14" x14ac:dyDescent="0.25">
      <c r="A34" s="4" t="s">
        <v>124</v>
      </c>
      <c r="B34" s="16">
        <f t="shared" si="6"/>
        <v>1</v>
      </c>
      <c r="C34" s="16">
        <f t="shared" si="5"/>
        <v>1</v>
      </c>
      <c r="D34" s="16">
        <f t="shared" si="5"/>
        <v>1</v>
      </c>
      <c r="E34" s="16">
        <f t="shared" si="5"/>
        <v>1</v>
      </c>
      <c r="F34" s="16">
        <f t="shared" si="5"/>
        <v>1</v>
      </c>
      <c r="G34" s="16">
        <f t="shared" si="5"/>
        <v>1</v>
      </c>
      <c r="H34" s="16">
        <f t="shared" si="5"/>
        <v>1</v>
      </c>
      <c r="I34" s="16">
        <f t="shared" si="5"/>
        <v>1</v>
      </c>
      <c r="J34" s="16">
        <f t="shared" si="5"/>
        <v>1</v>
      </c>
      <c r="K34" s="16">
        <f t="shared" si="5"/>
        <v>1</v>
      </c>
    </row>
    <row r="35" spans="1:14" x14ac:dyDescent="0.25">
      <c r="A35" s="4" t="s">
        <v>12</v>
      </c>
      <c r="B35" s="16">
        <f t="shared" si="6"/>
        <v>1</v>
      </c>
      <c r="C35" s="16">
        <f t="shared" si="5"/>
        <v>1</v>
      </c>
      <c r="D35" s="16">
        <f t="shared" si="5"/>
        <v>1</v>
      </c>
      <c r="E35" s="16">
        <f t="shared" si="5"/>
        <v>1</v>
      </c>
      <c r="F35" s="16">
        <f t="shared" si="5"/>
        <v>1</v>
      </c>
      <c r="G35" s="16">
        <f t="shared" si="5"/>
        <v>1</v>
      </c>
      <c r="H35" s="16">
        <f t="shared" si="5"/>
        <v>1</v>
      </c>
      <c r="I35" s="16">
        <f t="shared" si="5"/>
        <v>1</v>
      </c>
      <c r="J35" s="16">
        <f t="shared" si="5"/>
        <v>1</v>
      </c>
      <c r="K35" s="16">
        <f t="shared" si="5"/>
        <v>1</v>
      </c>
    </row>
    <row r="36" spans="1:14" x14ac:dyDescent="0.25">
      <c r="A36" s="4" t="s">
        <v>13</v>
      </c>
      <c r="B36" s="16">
        <f t="shared" si="6"/>
        <v>1</v>
      </c>
      <c r="C36" s="16">
        <f t="shared" si="5"/>
        <v>1</v>
      </c>
      <c r="D36" s="16">
        <f t="shared" si="5"/>
        <v>1</v>
      </c>
      <c r="E36" s="16">
        <f t="shared" si="5"/>
        <v>1</v>
      </c>
      <c r="F36" s="16">
        <f t="shared" si="5"/>
        <v>1</v>
      </c>
      <c r="G36" s="16">
        <f t="shared" si="5"/>
        <v>1</v>
      </c>
      <c r="H36" s="16">
        <f t="shared" si="5"/>
        <v>1</v>
      </c>
      <c r="I36" s="16">
        <f t="shared" si="5"/>
        <v>1</v>
      </c>
      <c r="J36" s="16">
        <f t="shared" si="5"/>
        <v>1</v>
      </c>
      <c r="K36" s="16">
        <f t="shared" si="5"/>
        <v>1</v>
      </c>
    </row>
    <row r="37" spans="1:14" x14ac:dyDescent="0.25">
      <c r="A37" s="4" t="s">
        <v>14</v>
      </c>
      <c r="B37" s="16">
        <f t="shared" si="6"/>
        <v>1</v>
      </c>
      <c r="C37" s="16">
        <f t="shared" si="5"/>
        <v>1</v>
      </c>
      <c r="D37" s="16">
        <f t="shared" si="5"/>
        <v>1</v>
      </c>
      <c r="E37" s="16">
        <f t="shared" si="5"/>
        <v>1</v>
      </c>
      <c r="F37" s="16">
        <f t="shared" si="5"/>
        <v>1</v>
      </c>
      <c r="G37" s="16">
        <f t="shared" si="5"/>
        <v>1</v>
      </c>
      <c r="H37" s="16">
        <f t="shared" si="5"/>
        <v>1</v>
      </c>
      <c r="I37" s="16">
        <f t="shared" si="5"/>
        <v>1</v>
      </c>
      <c r="J37" s="16">
        <f t="shared" si="5"/>
        <v>1</v>
      </c>
      <c r="K37" s="16">
        <f t="shared" si="5"/>
        <v>1</v>
      </c>
    </row>
    <row r="38" spans="1:14" x14ac:dyDescent="0.25">
      <c r="A38" s="4" t="s">
        <v>125</v>
      </c>
      <c r="B38" s="16">
        <f t="shared" si="6"/>
        <v>1</v>
      </c>
      <c r="C38" s="16">
        <f t="shared" si="5"/>
        <v>1</v>
      </c>
      <c r="D38" s="16">
        <f t="shared" si="5"/>
        <v>1</v>
      </c>
      <c r="E38" s="16">
        <f t="shared" si="5"/>
        <v>1</v>
      </c>
      <c r="F38" s="16">
        <f t="shared" si="5"/>
        <v>1</v>
      </c>
      <c r="G38" s="16">
        <f t="shared" si="5"/>
        <v>1</v>
      </c>
      <c r="H38" s="16">
        <f t="shared" si="5"/>
        <v>1</v>
      </c>
      <c r="I38" s="16">
        <f t="shared" si="5"/>
        <v>1</v>
      </c>
      <c r="J38" s="16">
        <f t="shared" si="5"/>
        <v>1</v>
      </c>
      <c r="K38" s="16">
        <f t="shared" si="5"/>
        <v>1</v>
      </c>
    </row>
    <row r="39" spans="1:14" x14ac:dyDescent="0.25">
      <c r="A39" s="4" t="s">
        <v>37</v>
      </c>
      <c r="B39" s="16">
        <f t="shared" si="6"/>
        <v>1</v>
      </c>
      <c r="C39" s="16">
        <f t="shared" si="5"/>
        <v>1</v>
      </c>
      <c r="D39" s="16">
        <f t="shared" si="5"/>
        <v>1</v>
      </c>
      <c r="E39" s="16">
        <f t="shared" si="5"/>
        <v>1</v>
      </c>
      <c r="F39" s="16">
        <f t="shared" si="5"/>
        <v>1</v>
      </c>
      <c r="G39" s="16">
        <f t="shared" si="5"/>
        <v>1</v>
      </c>
      <c r="H39" s="16">
        <f t="shared" si="5"/>
        <v>1</v>
      </c>
      <c r="I39" s="16">
        <f t="shared" si="5"/>
        <v>1</v>
      </c>
      <c r="J39" s="16">
        <f t="shared" si="5"/>
        <v>1</v>
      </c>
      <c r="K39" s="16">
        <f t="shared" si="5"/>
        <v>1</v>
      </c>
    </row>
    <row r="40" spans="1:14" x14ac:dyDescent="0.25">
      <c r="A40" s="4" t="s">
        <v>38</v>
      </c>
      <c r="B40" s="16">
        <f t="shared" si="6"/>
        <v>1</v>
      </c>
      <c r="C40" s="16">
        <f t="shared" si="5"/>
        <v>1</v>
      </c>
      <c r="D40" s="16">
        <f t="shared" si="5"/>
        <v>1</v>
      </c>
      <c r="E40" s="16">
        <f t="shared" si="5"/>
        <v>1</v>
      </c>
      <c r="F40" s="16">
        <f t="shared" si="5"/>
        <v>1</v>
      </c>
      <c r="G40" s="16">
        <f t="shared" si="5"/>
        <v>1</v>
      </c>
      <c r="H40" s="16">
        <f t="shared" si="5"/>
        <v>1</v>
      </c>
      <c r="I40" s="16">
        <f t="shared" si="5"/>
        <v>1</v>
      </c>
      <c r="J40" s="16">
        <f t="shared" si="5"/>
        <v>1</v>
      </c>
      <c r="K40" s="16">
        <f t="shared" si="5"/>
        <v>1</v>
      </c>
    </row>
    <row r="41" spans="1:14" x14ac:dyDescent="0.25">
      <c r="A41" s="4" t="s">
        <v>15</v>
      </c>
      <c r="B41" s="16">
        <f t="shared" si="6"/>
        <v>1</v>
      </c>
      <c r="C41" s="16">
        <f t="shared" si="5"/>
        <v>1</v>
      </c>
      <c r="D41" s="16">
        <f t="shared" si="5"/>
        <v>1</v>
      </c>
      <c r="E41" s="16">
        <f t="shared" si="5"/>
        <v>1</v>
      </c>
      <c r="F41" s="16">
        <f t="shared" si="5"/>
        <v>1</v>
      </c>
      <c r="G41" s="16">
        <f t="shared" si="5"/>
        <v>1</v>
      </c>
      <c r="H41" s="16">
        <f t="shared" si="5"/>
        <v>1</v>
      </c>
      <c r="I41" s="16">
        <f t="shared" si="5"/>
        <v>1</v>
      </c>
      <c r="J41" s="16">
        <f t="shared" si="5"/>
        <v>1</v>
      </c>
      <c r="K41" s="16">
        <f t="shared" si="5"/>
        <v>1</v>
      </c>
    </row>
    <row r="42" spans="1:14" x14ac:dyDescent="0.25">
      <c r="C42" s="6"/>
      <c r="D42" s="6"/>
      <c r="E42" s="6"/>
      <c r="F42" s="6"/>
      <c r="G42" s="6"/>
      <c r="H42" s="6"/>
      <c r="I42" s="6"/>
      <c r="J42" s="6"/>
      <c r="K42" s="6"/>
      <c r="N42" s="21" t="s">
        <v>63</v>
      </c>
    </row>
    <row r="43" spans="1:14" x14ac:dyDescent="0.25">
      <c r="A43" s="21" t="s">
        <v>60</v>
      </c>
      <c r="B43" s="12" t="str">
        <f>'Summary dashboard'!C4</f>
        <v>2023</v>
      </c>
      <c r="C43" s="12">
        <f t="shared" ref="C43" si="7">B43+1</f>
        <v>2024</v>
      </c>
      <c r="D43" s="12">
        <f t="shared" ref="D43" si="8">C43+1</f>
        <v>2025</v>
      </c>
      <c r="E43" s="12">
        <f t="shared" ref="E43" si="9">D43+1</f>
        <v>2026</v>
      </c>
      <c r="F43" s="12">
        <f t="shared" ref="F43" si="10">E43+1</f>
        <v>2027</v>
      </c>
      <c r="G43" s="12">
        <f t="shared" ref="G43" si="11">F43+1</f>
        <v>2028</v>
      </c>
      <c r="H43" s="12">
        <f t="shared" ref="H43" si="12">G43+1</f>
        <v>2029</v>
      </c>
      <c r="I43" s="12">
        <f t="shared" ref="I43" si="13">H43+1</f>
        <v>2030</v>
      </c>
      <c r="J43" s="12">
        <f t="shared" ref="J43" si="14">I43+1</f>
        <v>2031</v>
      </c>
      <c r="K43" s="12">
        <f t="shared" ref="K43" si="15">J43+1</f>
        <v>2032</v>
      </c>
      <c r="L43" s="1" t="s">
        <v>28</v>
      </c>
      <c r="N43" s="44" t="str">
        <f>'Summary dashboard'!B16</f>
        <v>2023</v>
      </c>
    </row>
    <row r="44" spans="1:14" x14ac:dyDescent="0.25">
      <c r="A44" s="4" t="s">
        <v>35</v>
      </c>
      <c r="B44" s="32">
        <f>IF($B16*$D16*B31&gt;0,$B16*$D16*B31,INDEX('Data inputs'!$B$29:$G$39,MATCH($A44,'Data inputs'!$A$29:$A$39,0),MATCH($A$1,'Data inputs'!$B$28:$G$28,0)))</f>
        <v>26522242.539187953</v>
      </c>
      <c r="C44" s="32">
        <f>IF($B16*$D16*C31&gt;0,$B16*$D16*C31,INDEX('Data inputs'!$B$29:$G$39,MATCH($A44,'Data inputs'!$A$29:$A$39,0),MATCH($A$1,'Data inputs'!$B$28:$G$28,0)))</f>
        <v>26522242.539187953</v>
      </c>
      <c r="D44" s="32">
        <f>IF($B16*$D16*D31&gt;0,$B16*$D16*D31,INDEX('Data inputs'!$B$29:$G$39,MATCH($A44,'Data inputs'!$A$29:$A$39,0),MATCH($A$1,'Data inputs'!$B$28:$G$28,0)))</f>
        <v>26522242.539187953</v>
      </c>
      <c r="E44" s="32">
        <f>IF($B16*$D16*E31&gt;0,$B16*$D16*E31,INDEX('Data inputs'!$B$29:$G$39,MATCH($A44,'Data inputs'!$A$29:$A$39,0),MATCH($A$1,'Data inputs'!$B$28:$G$28,0)))</f>
        <v>26522242.539187953</v>
      </c>
      <c r="F44" s="32">
        <f>IF($B16*$D16*F31&gt;0,$B16*$D16*F31,INDEX('Data inputs'!$B$29:$G$39,MATCH($A44,'Data inputs'!$A$29:$A$39,0),MATCH($A$1,'Data inputs'!$B$28:$G$28,0)))</f>
        <v>26522242.539187953</v>
      </c>
      <c r="G44" s="32">
        <f>IF($B16*$D16*G31&gt;0,$B16*$D16*G31,INDEX('Data inputs'!$B$29:$G$39,MATCH($A44,'Data inputs'!$A$29:$A$39,0),MATCH($A$1,'Data inputs'!$B$28:$G$28,0)))</f>
        <v>26522242.539187953</v>
      </c>
      <c r="H44" s="32">
        <f>IF($B16*$D16*H31&gt;0,$B16*$D16*H31,INDEX('Data inputs'!$B$29:$G$39,MATCH($A44,'Data inputs'!$A$29:$A$39,0),MATCH($A$1,'Data inputs'!$B$28:$G$28,0)))</f>
        <v>26522242.539187953</v>
      </c>
      <c r="I44" s="32">
        <f>IF($B16*$D16*I31&gt;0,$B16*$D16*I31,INDEX('Data inputs'!$B$29:$G$39,MATCH($A44,'Data inputs'!$A$29:$A$39,0),MATCH($A$1,'Data inputs'!$B$28:$G$28,0)))</f>
        <v>26522242.539187953</v>
      </c>
      <c r="J44" s="32">
        <f>IF($B16*$D16*J31&gt;0,$B16*$D16*J31,INDEX('Data inputs'!$B$29:$G$39,MATCH($A44,'Data inputs'!$A$29:$A$39,0),MATCH($A$1,'Data inputs'!$B$28:$G$28,0)))</f>
        <v>26522242.539187953</v>
      </c>
      <c r="K44" s="32">
        <f>IF($B16*$D16*K31&gt;0,$B16*$D16*K31,INDEX('Data inputs'!$B$29:$G$39,MATCH($A44,'Data inputs'!$A$29:$A$39,0),MATCH($A$1,'Data inputs'!$B$28:$G$28,0)))</f>
        <v>26522242.539187953</v>
      </c>
      <c r="L44" s="5">
        <f t="shared" ref="L44:L54" si="16">AVERAGE(B44:K44)</f>
        <v>26522242.539187957</v>
      </c>
      <c r="N44" s="5">
        <f t="shared" ref="N44:N54" si="17">INDEX(B44:K44,1,MATCH($N$43,$B$43:$K$43,0))</f>
        <v>26522242.539187953</v>
      </c>
    </row>
    <row r="45" spans="1:14" x14ac:dyDescent="0.25">
      <c r="A45" s="4" t="s">
        <v>36</v>
      </c>
      <c r="B45" s="32">
        <f>IF($B17*$D17*B32&gt;0,$B17*$D17*B32,INDEX('Data inputs'!$B$29:$G$39,MATCH($A45,'Data inputs'!$A$29:$A$39,0),MATCH($A$1,'Data inputs'!$B$28:$G$28,0)))</f>
        <v>14539053.535888439</v>
      </c>
      <c r="C45" s="32">
        <f>IF($B17*$D17*C32&gt;0,$B17*$D17*C32,INDEX('Data inputs'!$B$29:$G$39,MATCH($A45,'Data inputs'!$A$29:$A$39,0),MATCH($A$1,'Data inputs'!$B$28:$G$28,0)))</f>
        <v>14539053.535888439</v>
      </c>
      <c r="D45" s="32">
        <f>IF($B17*$D17*D32&gt;0,$B17*$D17*D32,INDEX('Data inputs'!$B$29:$G$39,MATCH($A45,'Data inputs'!$A$29:$A$39,0),MATCH($A$1,'Data inputs'!$B$28:$G$28,0)))</f>
        <v>14539053.535888439</v>
      </c>
      <c r="E45" s="32">
        <f>IF($B17*$D17*E32&gt;0,$B17*$D17*E32,INDEX('Data inputs'!$B$29:$G$39,MATCH($A45,'Data inputs'!$A$29:$A$39,0),MATCH($A$1,'Data inputs'!$B$28:$G$28,0)))</f>
        <v>14539053.535888439</v>
      </c>
      <c r="F45" s="32">
        <f>IF($B17*$D17*F32&gt;0,$B17*$D17*F32,INDEX('Data inputs'!$B$29:$G$39,MATCH($A45,'Data inputs'!$A$29:$A$39,0),MATCH($A$1,'Data inputs'!$B$28:$G$28,0)))</f>
        <v>14539053.535888439</v>
      </c>
      <c r="G45" s="32">
        <f>IF($B17*$D17*G32&gt;0,$B17*$D17*G32,INDEX('Data inputs'!$B$29:$G$39,MATCH($A45,'Data inputs'!$A$29:$A$39,0),MATCH($A$1,'Data inputs'!$B$28:$G$28,0)))</f>
        <v>14539053.535888439</v>
      </c>
      <c r="H45" s="32">
        <f>IF($B17*$D17*H32&gt;0,$B17*$D17*H32,INDEX('Data inputs'!$B$29:$G$39,MATCH($A45,'Data inputs'!$A$29:$A$39,0),MATCH($A$1,'Data inputs'!$B$28:$G$28,0)))</f>
        <v>14539053.535888439</v>
      </c>
      <c r="I45" s="32">
        <f>IF($B17*$D17*I32&gt;0,$B17*$D17*I32,INDEX('Data inputs'!$B$29:$G$39,MATCH($A45,'Data inputs'!$A$29:$A$39,0),MATCH($A$1,'Data inputs'!$B$28:$G$28,0)))</f>
        <v>14539053.535888439</v>
      </c>
      <c r="J45" s="32">
        <f>IF($B17*$D17*J32&gt;0,$B17*$D17*J32,INDEX('Data inputs'!$B$29:$G$39,MATCH($A45,'Data inputs'!$A$29:$A$39,0),MATCH($A$1,'Data inputs'!$B$28:$G$28,0)))</f>
        <v>14539053.535888439</v>
      </c>
      <c r="K45" s="32">
        <f>IF($B17*$D17*K32&gt;0,$B17*$D17*K32,INDEX('Data inputs'!$B$29:$G$39,MATCH($A45,'Data inputs'!$A$29:$A$39,0),MATCH($A$1,'Data inputs'!$B$28:$G$28,0)))</f>
        <v>14539053.535888439</v>
      </c>
      <c r="L45" s="5">
        <f t="shared" si="16"/>
        <v>14539053.535888437</v>
      </c>
      <c r="N45" s="5">
        <f t="shared" si="17"/>
        <v>14539053.535888439</v>
      </c>
    </row>
    <row r="46" spans="1:14" x14ac:dyDescent="0.25">
      <c r="A46" s="4" t="s">
        <v>11</v>
      </c>
      <c r="B46" s="32">
        <f>IF($B18*$D18*B33&gt;0,$B18*$D18*B33,INDEX('Data inputs'!$B$29:$G$39,MATCH($A46,'Data inputs'!$A$29:$A$39,0),MATCH($A$1,'Data inputs'!$B$28:$G$28,0)))</f>
        <v>0</v>
      </c>
      <c r="C46" s="32">
        <f>IF($B18*$D18*C33&gt;0,$B18*$D18*C33,INDEX('Data inputs'!$B$29:$G$39,MATCH($A46,'Data inputs'!$A$29:$A$39,0),MATCH($A$1,'Data inputs'!$B$28:$G$28,0)))</f>
        <v>0</v>
      </c>
      <c r="D46" s="32">
        <f>IF($B18*$D18*D33&gt;0,$B18*$D18*D33,INDEX('Data inputs'!$B$29:$G$39,MATCH($A46,'Data inputs'!$A$29:$A$39,0),MATCH($A$1,'Data inputs'!$B$28:$G$28,0)))</f>
        <v>0</v>
      </c>
      <c r="E46" s="32">
        <f>IF($B18*$D18*E33&gt;0,$B18*$D18*E33,INDEX('Data inputs'!$B$29:$G$39,MATCH($A46,'Data inputs'!$A$29:$A$39,0),MATCH($A$1,'Data inputs'!$B$28:$G$28,0)))</f>
        <v>0</v>
      </c>
      <c r="F46" s="32">
        <f>IF($B18*$D18*F33&gt;0,$B18*$D18*F33,INDEX('Data inputs'!$B$29:$G$39,MATCH($A46,'Data inputs'!$A$29:$A$39,0),MATCH($A$1,'Data inputs'!$B$28:$G$28,0)))</f>
        <v>0</v>
      </c>
      <c r="G46" s="32">
        <f>IF($B18*$D18*G33&gt;0,$B18*$D18*G33,INDEX('Data inputs'!$B$29:$G$39,MATCH($A46,'Data inputs'!$A$29:$A$39,0),MATCH($A$1,'Data inputs'!$B$28:$G$28,0)))</f>
        <v>0</v>
      </c>
      <c r="H46" s="32">
        <f>IF($B18*$D18*H33&gt;0,$B18*$D18*H33,INDEX('Data inputs'!$B$29:$G$39,MATCH($A46,'Data inputs'!$A$29:$A$39,0),MATCH($A$1,'Data inputs'!$B$28:$G$28,0)))</f>
        <v>0</v>
      </c>
      <c r="I46" s="32">
        <f>IF($B18*$D18*I33&gt;0,$B18*$D18*I33,INDEX('Data inputs'!$B$29:$G$39,MATCH($A46,'Data inputs'!$A$29:$A$39,0),MATCH($A$1,'Data inputs'!$B$28:$G$28,0)))</f>
        <v>0</v>
      </c>
      <c r="J46" s="32">
        <f>IF($B18*$D18*J33&gt;0,$B18*$D18*J33,INDEX('Data inputs'!$B$29:$G$39,MATCH($A46,'Data inputs'!$A$29:$A$39,0),MATCH($A$1,'Data inputs'!$B$28:$G$28,0)))</f>
        <v>0</v>
      </c>
      <c r="K46" s="32">
        <f>IF($B18*$D18*K33&gt;0,$B18*$D18*K33,INDEX('Data inputs'!$B$29:$G$39,MATCH($A46,'Data inputs'!$A$29:$A$39,0),MATCH($A$1,'Data inputs'!$B$28:$G$28,0)))</f>
        <v>0</v>
      </c>
      <c r="L46" s="5">
        <f t="shared" si="16"/>
        <v>0</v>
      </c>
      <c r="N46" s="5">
        <f t="shared" si="17"/>
        <v>0</v>
      </c>
    </row>
    <row r="47" spans="1:14" x14ac:dyDescent="0.25">
      <c r="A47" s="4" t="s">
        <v>124</v>
      </c>
      <c r="B47" s="32">
        <f>IF($B19*$D19*B34&gt;0,$B19*$D19*B34,INDEX('Data inputs'!$B$29:$G$39,MATCH($A47,'Data inputs'!$A$29:$A$39,0),MATCH($A$1,'Data inputs'!$B$28:$G$28,0)))</f>
        <v>9062436.2002668232</v>
      </c>
      <c r="C47" s="32">
        <f>IF($B19*$D19*C34&gt;0,$B19*$D19*C34,INDEX('Data inputs'!$B$29:$G$39,MATCH($A47,'Data inputs'!$A$29:$A$39,0),MATCH($A$1,'Data inputs'!$B$28:$G$28,0)))</f>
        <v>9062436.2002668232</v>
      </c>
      <c r="D47" s="32">
        <f>IF($B19*$D19*D34&gt;0,$B19*$D19*D34,INDEX('Data inputs'!$B$29:$G$39,MATCH($A47,'Data inputs'!$A$29:$A$39,0),MATCH($A$1,'Data inputs'!$B$28:$G$28,0)))</f>
        <v>9062436.2002668232</v>
      </c>
      <c r="E47" s="32">
        <f>IF($B19*$D19*E34&gt;0,$B19*$D19*E34,INDEX('Data inputs'!$B$29:$G$39,MATCH($A47,'Data inputs'!$A$29:$A$39,0),MATCH($A$1,'Data inputs'!$B$28:$G$28,0)))</f>
        <v>9062436.2002668232</v>
      </c>
      <c r="F47" s="32">
        <f>IF($B19*$D19*F34&gt;0,$B19*$D19*F34,INDEX('Data inputs'!$B$29:$G$39,MATCH($A47,'Data inputs'!$A$29:$A$39,0),MATCH($A$1,'Data inputs'!$B$28:$G$28,0)))</f>
        <v>9062436.2002668232</v>
      </c>
      <c r="G47" s="32">
        <f>IF($B19*$D19*G34&gt;0,$B19*$D19*G34,INDEX('Data inputs'!$B$29:$G$39,MATCH($A47,'Data inputs'!$A$29:$A$39,0),MATCH($A$1,'Data inputs'!$B$28:$G$28,0)))</f>
        <v>9062436.2002668232</v>
      </c>
      <c r="H47" s="32">
        <f>IF($B19*$D19*H34&gt;0,$B19*$D19*H34,INDEX('Data inputs'!$B$29:$G$39,MATCH($A47,'Data inputs'!$A$29:$A$39,0),MATCH($A$1,'Data inputs'!$B$28:$G$28,0)))</f>
        <v>9062436.2002668232</v>
      </c>
      <c r="I47" s="32">
        <f>IF($B19*$D19*I34&gt;0,$B19*$D19*I34,INDEX('Data inputs'!$B$29:$G$39,MATCH($A47,'Data inputs'!$A$29:$A$39,0),MATCH($A$1,'Data inputs'!$B$28:$G$28,0)))</f>
        <v>9062436.2002668232</v>
      </c>
      <c r="J47" s="32">
        <f>IF($B19*$D19*J34&gt;0,$B19*$D19*J34,INDEX('Data inputs'!$B$29:$G$39,MATCH($A47,'Data inputs'!$A$29:$A$39,0),MATCH($A$1,'Data inputs'!$B$28:$G$28,0)))</f>
        <v>9062436.2002668232</v>
      </c>
      <c r="K47" s="32">
        <f>IF($B19*$D19*K34&gt;0,$B19*$D19*K34,INDEX('Data inputs'!$B$29:$G$39,MATCH($A47,'Data inputs'!$A$29:$A$39,0),MATCH($A$1,'Data inputs'!$B$28:$G$28,0)))</f>
        <v>9062436.2002668232</v>
      </c>
      <c r="L47" s="5">
        <f t="shared" si="16"/>
        <v>9062436.2002668232</v>
      </c>
      <c r="N47" s="5">
        <f t="shared" si="17"/>
        <v>9062436.2002668232</v>
      </c>
    </row>
    <row r="48" spans="1:14" x14ac:dyDescent="0.25">
      <c r="A48" s="4" t="s">
        <v>12</v>
      </c>
      <c r="B48" s="32">
        <f>IF($B20*$D20*B35&gt;0,$B20*$D20*B35,INDEX('Data inputs'!$B$29:$G$39,MATCH($A48,'Data inputs'!$A$29:$A$39,0),MATCH($A$1,'Data inputs'!$B$28:$G$28,0)))</f>
        <v>83606909.741551742</v>
      </c>
      <c r="C48" s="32">
        <f>IF($B20*$D20*C35&gt;0,$B20*$D20*C35,INDEX('Data inputs'!$B$29:$G$39,MATCH($A48,'Data inputs'!$A$29:$A$39,0),MATCH($A$1,'Data inputs'!$B$28:$G$28,0)))</f>
        <v>83606909.741551742</v>
      </c>
      <c r="D48" s="32">
        <f>IF($B20*$D20*D35&gt;0,$B20*$D20*D35,INDEX('Data inputs'!$B$29:$G$39,MATCH($A48,'Data inputs'!$A$29:$A$39,0),MATCH($A$1,'Data inputs'!$B$28:$G$28,0)))</f>
        <v>83606909.741551742</v>
      </c>
      <c r="E48" s="32">
        <f>IF($B20*$D20*E35&gt;0,$B20*$D20*E35,INDEX('Data inputs'!$B$29:$G$39,MATCH($A48,'Data inputs'!$A$29:$A$39,0),MATCH($A$1,'Data inputs'!$B$28:$G$28,0)))</f>
        <v>83606909.741551742</v>
      </c>
      <c r="F48" s="32">
        <f>IF($B20*$D20*F35&gt;0,$B20*$D20*F35,INDEX('Data inputs'!$B$29:$G$39,MATCH($A48,'Data inputs'!$A$29:$A$39,0),MATCH($A$1,'Data inputs'!$B$28:$G$28,0)))</f>
        <v>83606909.741551742</v>
      </c>
      <c r="G48" s="32">
        <f>IF($B20*$D20*G35&gt;0,$B20*$D20*G35,INDEX('Data inputs'!$B$29:$G$39,MATCH($A48,'Data inputs'!$A$29:$A$39,0),MATCH($A$1,'Data inputs'!$B$28:$G$28,0)))</f>
        <v>83606909.741551742</v>
      </c>
      <c r="H48" s="32">
        <f>IF($B20*$D20*H35&gt;0,$B20*$D20*H35,INDEX('Data inputs'!$B$29:$G$39,MATCH($A48,'Data inputs'!$A$29:$A$39,0),MATCH($A$1,'Data inputs'!$B$28:$G$28,0)))</f>
        <v>83606909.741551742</v>
      </c>
      <c r="I48" s="32">
        <f>IF($B20*$D20*I35&gt;0,$B20*$D20*I35,INDEX('Data inputs'!$B$29:$G$39,MATCH($A48,'Data inputs'!$A$29:$A$39,0),MATCH($A$1,'Data inputs'!$B$28:$G$28,0)))</f>
        <v>83606909.741551742</v>
      </c>
      <c r="J48" s="32">
        <f>IF($B20*$D20*J35&gt;0,$B20*$D20*J35,INDEX('Data inputs'!$B$29:$G$39,MATCH($A48,'Data inputs'!$A$29:$A$39,0),MATCH($A$1,'Data inputs'!$B$28:$G$28,0)))</f>
        <v>83606909.741551742</v>
      </c>
      <c r="K48" s="32">
        <f>IF($B20*$D20*K35&gt;0,$B20*$D20*K35,INDEX('Data inputs'!$B$29:$G$39,MATCH($A48,'Data inputs'!$A$29:$A$39,0),MATCH($A$1,'Data inputs'!$B$28:$G$28,0)))</f>
        <v>83606909.741551742</v>
      </c>
      <c r="L48" s="5">
        <f t="shared" si="16"/>
        <v>83606909.741551742</v>
      </c>
      <c r="N48" s="5">
        <f t="shared" si="17"/>
        <v>83606909.741551742</v>
      </c>
    </row>
    <row r="49" spans="1:14" x14ac:dyDescent="0.25">
      <c r="A49" s="4" t="s">
        <v>13</v>
      </c>
      <c r="B49" s="32">
        <f>IF($B21*$D21*B36&gt;0,$B21*$D21*B36,INDEX('Data inputs'!$B$29:$G$39,MATCH($A49,'Data inputs'!$A$29:$A$39,0),MATCH($A$1,'Data inputs'!$B$28:$G$28,0)))</f>
        <v>0</v>
      </c>
      <c r="C49" s="32">
        <f>IF($B21*$D21*C36&gt;0,$B21*$D21*C36,INDEX('Data inputs'!$B$29:$G$39,MATCH($A49,'Data inputs'!$A$29:$A$39,0),MATCH($A$1,'Data inputs'!$B$28:$G$28,0)))</f>
        <v>0</v>
      </c>
      <c r="D49" s="32">
        <f>IF($B21*$D21*D36&gt;0,$B21*$D21*D36,INDEX('Data inputs'!$B$29:$G$39,MATCH($A49,'Data inputs'!$A$29:$A$39,0),MATCH($A$1,'Data inputs'!$B$28:$G$28,0)))</f>
        <v>0</v>
      </c>
      <c r="E49" s="32">
        <f>IF($B21*$D21*E36&gt;0,$B21*$D21*E36,INDEX('Data inputs'!$B$29:$G$39,MATCH($A49,'Data inputs'!$A$29:$A$39,0),MATCH($A$1,'Data inputs'!$B$28:$G$28,0)))</f>
        <v>0</v>
      </c>
      <c r="F49" s="32">
        <f>IF($B21*$D21*F36&gt;0,$B21*$D21*F36,INDEX('Data inputs'!$B$29:$G$39,MATCH($A49,'Data inputs'!$A$29:$A$39,0),MATCH($A$1,'Data inputs'!$B$28:$G$28,0)))</f>
        <v>0</v>
      </c>
      <c r="G49" s="32">
        <f>IF($B21*$D21*G36&gt;0,$B21*$D21*G36,INDEX('Data inputs'!$B$29:$G$39,MATCH($A49,'Data inputs'!$A$29:$A$39,0),MATCH($A$1,'Data inputs'!$B$28:$G$28,0)))</f>
        <v>0</v>
      </c>
      <c r="H49" s="32">
        <f>IF($B21*$D21*H36&gt;0,$B21*$D21*H36,INDEX('Data inputs'!$B$29:$G$39,MATCH($A49,'Data inputs'!$A$29:$A$39,0),MATCH($A$1,'Data inputs'!$B$28:$G$28,0)))</f>
        <v>0</v>
      </c>
      <c r="I49" s="32">
        <f>IF($B21*$D21*I36&gt;0,$B21*$D21*I36,INDEX('Data inputs'!$B$29:$G$39,MATCH($A49,'Data inputs'!$A$29:$A$39,0),MATCH($A$1,'Data inputs'!$B$28:$G$28,0)))</f>
        <v>0</v>
      </c>
      <c r="J49" s="32">
        <f>IF($B21*$D21*J36&gt;0,$B21*$D21*J36,INDEX('Data inputs'!$B$29:$G$39,MATCH($A49,'Data inputs'!$A$29:$A$39,0),MATCH($A$1,'Data inputs'!$B$28:$G$28,0)))</f>
        <v>0</v>
      </c>
      <c r="K49" s="32">
        <f>IF($B21*$D21*K36&gt;0,$B21*$D21*K36,INDEX('Data inputs'!$B$29:$G$39,MATCH($A49,'Data inputs'!$A$29:$A$39,0),MATCH($A$1,'Data inputs'!$B$28:$G$28,0)))</f>
        <v>0</v>
      </c>
      <c r="L49" s="5">
        <f t="shared" si="16"/>
        <v>0</v>
      </c>
      <c r="N49" s="5">
        <f t="shared" si="17"/>
        <v>0</v>
      </c>
    </row>
    <row r="50" spans="1:14" x14ac:dyDescent="0.25">
      <c r="A50" s="4" t="s">
        <v>14</v>
      </c>
      <c r="B50" s="32">
        <f>IF($B22*$D22*B37&gt;0,$B22*$D22*B37,INDEX('Data inputs'!$B$29:$G$39,MATCH($A50,'Data inputs'!$A$29:$A$39,0),MATCH($A$1,'Data inputs'!$B$28:$G$28,0)))</f>
        <v>0</v>
      </c>
      <c r="C50" s="32">
        <f>IF($B22*$D22*C37&gt;0,$B22*$D22*C37,INDEX('Data inputs'!$B$29:$G$39,MATCH($A50,'Data inputs'!$A$29:$A$39,0),MATCH($A$1,'Data inputs'!$B$28:$G$28,0)))</f>
        <v>0</v>
      </c>
      <c r="D50" s="32">
        <f>IF($B22*$D22*D37&gt;0,$B22*$D22*D37,INDEX('Data inputs'!$B$29:$G$39,MATCH($A50,'Data inputs'!$A$29:$A$39,0),MATCH($A$1,'Data inputs'!$B$28:$G$28,0)))</f>
        <v>0</v>
      </c>
      <c r="E50" s="32">
        <f>IF($B22*$D22*E37&gt;0,$B22*$D22*E37,INDEX('Data inputs'!$B$29:$G$39,MATCH($A50,'Data inputs'!$A$29:$A$39,0),MATCH($A$1,'Data inputs'!$B$28:$G$28,0)))</f>
        <v>0</v>
      </c>
      <c r="F50" s="32">
        <f>IF($B22*$D22*F37&gt;0,$B22*$D22*F37,INDEX('Data inputs'!$B$29:$G$39,MATCH($A50,'Data inputs'!$A$29:$A$39,0),MATCH($A$1,'Data inputs'!$B$28:$G$28,0)))</f>
        <v>0</v>
      </c>
      <c r="G50" s="32">
        <f>IF($B22*$D22*G37&gt;0,$B22*$D22*G37,INDEX('Data inputs'!$B$29:$G$39,MATCH($A50,'Data inputs'!$A$29:$A$39,0),MATCH($A$1,'Data inputs'!$B$28:$G$28,0)))</f>
        <v>0</v>
      </c>
      <c r="H50" s="32">
        <f>IF($B22*$D22*H37&gt;0,$B22*$D22*H37,INDEX('Data inputs'!$B$29:$G$39,MATCH($A50,'Data inputs'!$A$29:$A$39,0),MATCH($A$1,'Data inputs'!$B$28:$G$28,0)))</f>
        <v>0</v>
      </c>
      <c r="I50" s="32">
        <f>IF($B22*$D22*I37&gt;0,$B22*$D22*I37,INDEX('Data inputs'!$B$29:$G$39,MATCH($A50,'Data inputs'!$A$29:$A$39,0),MATCH($A$1,'Data inputs'!$B$28:$G$28,0)))</f>
        <v>0</v>
      </c>
      <c r="J50" s="32">
        <f>IF($B22*$D22*J37&gt;0,$B22*$D22*J37,INDEX('Data inputs'!$B$29:$G$39,MATCH($A50,'Data inputs'!$A$29:$A$39,0),MATCH($A$1,'Data inputs'!$B$28:$G$28,0)))</f>
        <v>0</v>
      </c>
      <c r="K50" s="32">
        <f>IF($B22*$D22*K37&gt;0,$B22*$D22*K37,INDEX('Data inputs'!$B$29:$G$39,MATCH($A50,'Data inputs'!$A$29:$A$39,0),MATCH($A$1,'Data inputs'!$B$28:$G$28,0)))</f>
        <v>0</v>
      </c>
      <c r="L50" s="5">
        <f t="shared" si="16"/>
        <v>0</v>
      </c>
      <c r="N50" s="5">
        <f t="shared" si="17"/>
        <v>0</v>
      </c>
    </row>
    <row r="51" spans="1:14" x14ac:dyDescent="0.25">
      <c r="A51" s="4" t="s">
        <v>125</v>
      </c>
      <c r="B51" s="32">
        <f>IF($B23*$D23*B38&gt;0,$B23*$D23*B38,INDEX('Data inputs'!$B$29:$G$39,MATCH($A51,'Data inputs'!$A$29:$A$39,0),MATCH($A$1,'Data inputs'!$B$28:$G$28,0)))</f>
        <v>2765025.6891020043</v>
      </c>
      <c r="C51" s="32">
        <f>IF($B23*$D23*C38&gt;0,$B23*$D23*C38,INDEX('Data inputs'!$B$29:$G$39,MATCH($A51,'Data inputs'!$A$29:$A$39,0),MATCH($A$1,'Data inputs'!$B$28:$G$28,0)))</f>
        <v>2765025.6891020043</v>
      </c>
      <c r="D51" s="32">
        <f>IF($B23*$D23*D38&gt;0,$B23*$D23*D38,INDEX('Data inputs'!$B$29:$G$39,MATCH($A51,'Data inputs'!$A$29:$A$39,0),MATCH($A$1,'Data inputs'!$B$28:$G$28,0)))</f>
        <v>2765025.6891020043</v>
      </c>
      <c r="E51" s="32">
        <f>IF($B23*$D23*E38&gt;0,$B23*$D23*E38,INDEX('Data inputs'!$B$29:$G$39,MATCH($A51,'Data inputs'!$A$29:$A$39,0),MATCH($A$1,'Data inputs'!$B$28:$G$28,0)))</f>
        <v>2765025.6891020043</v>
      </c>
      <c r="F51" s="32">
        <f>IF($B23*$D23*F38&gt;0,$B23*$D23*F38,INDEX('Data inputs'!$B$29:$G$39,MATCH($A51,'Data inputs'!$A$29:$A$39,0),MATCH($A$1,'Data inputs'!$B$28:$G$28,0)))</f>
        <v>2765025.6891020043</v>
      </c>
      <c r="G51" s="32">
        <f>IF($B23*$D23*G38&gt;0,$B23*$D23*G38,INDEX('Data inputs'!$B$29:$G$39,MATCH($A51,'Data inputs'!$A$29:$A$39,0),MATCH($A$1,'Data inputs'!$B$28:$G$28,0)))</f>
        <v>2765025.6891020043</v>
      </c>
      <c r="H51" s="32">
        <f>IF($B23*$D23*H38&gt;0,$B23*$D23*H38,INDEX('Data inputs'!$B$29:$G$39,MATCH($A51,'Data inputs'!$A$29:$A$39,0),MATCH($A$1,'Data inputs'!$B$28:$G$28,0)))</f>
        <v>2765025.6891020043</v>
      </c>
      <c r="I51" s="32">
        <f>IF($B23*$D23*I38&gt;0,$B23*$D23*I38,INDEX('Data inputs'!$B$29:$G$39,MATCH($A51,'Data inputs'!$A$29:$A$39,0),MATCH($A$1,'Data inputs'!$B$28:$G$28,0)))</f>
        <v>2765025.6891020043</v>
      </c>
      <c r="J51" s="32">
        <f>IF($B23*$D23*J38&gt;0,$B23*$D23*J38,INDEX('Data inputs'!$B$29:$G$39,MATCH($A51,'Data inputs'!$A$29:$A$39,0),MATCH($A$1,'Data inputs'!$B$28:$G$28,0)))</f>
        <v>2765025.6891020043</v>
      </c>
      <c r="K51" s="32">
        <f>IF($B23*$D23*K38&gt;0,$B23*$D23*K38,INDEX('Data inputs'!$B$29:$G$39,MATCH($A51,'Data inputs'!$A$29:$A$39,0),MATCH($A$1,'Data inputs'!$B$28:$G$28,0)))</f>
        <v>2765025.6891020043</v>
      </c>
      <c r="L51" s="5">
        <f t="shared" si="16"/>
        <v>2765025.6891020047</v>
      </c>
      <c r="N51" s="5">
        <f t="shared" si="17"/>
        <v>2765025.6891020043</v>
      </c>
    </row>
    <row r="52" spans="1:14" x14ac:dyDescent="0.25">
      <c r="A52" s="4" t="s">
        <v>37</v>
      </c>
      <c r="B52" s="32">
        <f>IF($B24*$D24*B39&gt;0,$B24*$D24*B39,INDEX('Data inputs'!$B$29:$G$39,MATCH($A52,'Data inputs'!$A$29:$A$39,0),MATCH($A$1,'Data inputs'!$B$28:$G$28,0)))</f>
        <v>80427342.990647882</v>
      </c>
      <c r="C52" s="32">
        <f>IF($B24*$D24*C39&gt;0,$B24*$D24*C39,INDEX('Data inputs'!$B$29:$G$39,MATCH($A52,'Data inputs'!$A$29:$A$39,0),MATCH($A$1,'Data inputs'!$B$28:$G$28,0)))</f>
        <v>80427342.990647882</v>
      </c>
      <c r="D52" s="32">
        <f>IF($B24*$D24*D39&gt;0,$B24*$D24*D39,INDEX('Data inputs'!$B$29:$G$39,MATCH($A52,'Data inputs'!$A$29:$A$39,0),MATCH($A$1,'Data inputs'!$B$28:$G$28,0)))</f>
        <v>80427342.990647882</v>
      </c>
      <c r="E52" s="32">
        <f>IF($B24*$D24*E39&gt;0,$B24*$D24*E39,INDEX('Data inputs'!$B$29:$G$39,MATCH($A52,'Data inputs'!$A$29:$A$39,0),MATCH($A$1,'Data inputs'!$B$28:$G$28,0)))</f>
        <v>80427342.990647882</v>
      </c>
      <c r="F52" s="32">
        <f>IF($B24*$D24*F39&gt;0,$B24*$D24*F39,INDEX('Data inputs'!$B$29:$G$39,MATCH($A52,'Data inputs'!$A$29:$A$39,0),MATCH($A$1,'Data inputs'!$B$28:$G$28,0)))</f>
        <v>80427342.990647882</v>
      </c>
      <c r="G52" s="32">
        <f>IF($B24*$D24*G39&gt;0,$B24*$D24*G39,INDEX('Data inputs'!$B$29:$G$39,MATCH($A52,'Data inputs'!$A$29:$A$39,0),MATCH($A$1,'Data inputs'!$B$28:$G$28,0)))</f>
        <v>80427342.990647882</v>
      </c>
      <c r="H52" s="32">
        <f>IF($B24*$D24*H39&gt;0,$B24*$D24*H39,INDEX('Data inputs'!$B$29:$G$39,MATCH($A52,'Data inputs'!$A$29:$A$39,0),MATCH($A$1,'Data inputs'!$B$28:$G$28,0)))</f>
        <v>80427342.990647882</v>
      </c>
      <c r="I52" s="32">
        <f>IF($B24*$D24*I39&gt;0,$B24*$D24*I39,INDEX('Data inputs'!$B$29:$G$39,MATCH($A52,'Data inputs'!$A$29:$A$39,0),MATCH($A$1,'Data inputs'!$B$28:$G$28,0)))</f>
        <v>80427342.990647882</v>
      </c>
      <c r="J52" s="32">
        <f>IF($B24*$D24*J39&gt;0,$B24*$D24*J39,INDEX('Data inputs'!$B$29:$G$39,MATCH($A52,'Data inputs'!$A$29:$A$39,0),MATCH($A$1,'Data inputs'!$B$28:$G$28,0)))</f>
        <v>80427342.990647882</v>
      </c>
      <c r="K52" s="32">
        <f>IF($B24*$D24*K39&gt;0,$B24*$D24*K39,INDEX('Data inputs'!$B$29:$G$39,MATCH($A52,'Data inputs'!$A$29:$A$39,0),MATCH($A$1,'Data inputs'!$B$28:$G$28,0)))</f>
        <v>80427342.990647882</v>
      </c>
      <c r="L52" s="5">
        <f t="shared" si="16"/>
        <v>80427342.990647897</v>
      </c>
      <c r="N52" s="5">
        <f t="shared" si="17"/>
        <v>80427342.990647882</v>
      </c>
    </row>
    <row r="53" spans="1:14" x14ac:dyDescent="0.25">
      <c r="A53" s="4" t="s">
        <v>38</v>
      </c>
      <c r="B53" s="32">
        <f>IF($B25*$D25*B40&gt;0,$B25*$D25*B40,INDEX('Data inputs'!$B$29:$G$39,MATCH($A53,'Data inputs'!$A$29:$A$39,0),MATCH($A$1,'Data inputs'!$B$28:$G$28,0)))</f>
        <v>10781472.294458872</v>
      </c>
      <c r="C53" s="32">
        <f>IF($B25*$D25*C40&gt;0,$B25*$D25*C40,INDEX('Data inputs'!$B$29:$G$39,MATCH($A53,'Data inputs'!$A$29:$A$39,0),MATCH($A$1,'Data inputs'!$B$28:$G$28,0)))</f>
        <v>10781472.294458872</v>
      </c>
      <c r="D53" s="32">
        <f>IF($B25*$D25*D40&gt;0,$B25*$D25*D40,INDEX('Data inputs'!$B$29:$G$39,MATCH($A53,'Data inputs'!$A$29:$A$39,0),MATCH($A$1,'Data inputs'!$B$28:$G$28,0)))</f>
        <v>10781472.294458872</v>
      </c>
      <c r="E53" s="32">
        <f>IF($B25*$D25*E40&gt;0,$B25*$D25*E40,INDEX('Data inputs'!$B$29:$G$39,MATCH($A53,'Data inputs'!$A$29:$A$39,0),MATCH($A$1,'Data inputs'!$B$28:$G$28,0)))</f>
        <v>10781472.294458872</v>
      </c>
      <c r="F53" s="32">
        <f>IF($B25*$D25*F40&gt;0,$B25*$D25*F40,INDEX('Data inputs'!$B$29:$G$39,MATCH($A53,'Data inputs'!$A$29:$A$39,0),MATCH($A$1,'Data inputs'!$B$28:$G$28,0)))</f>
        <v>10781472.294458872</v>
      </c>
      <c r="G53" s="32">
        <f>IF($B25*$D25*G40&gt;0,$B25*$D25*G40,INDEX('Data inputs'!$B$29:$G$39,MATCH($A53,'Data inputs'!$A$29:$A$39,0),MATCH($A$1,'Data inputs'!$B$28:$G$28,0)))</f>
        <v>10781472.294458872</v>
      </c>
      <c r="H53" s="32">
        <f>IF($B25*$D25*H40&gt;0,$B25*$D25*H40,INDEX('Data inputs'!$B$29:$G$39,MATCH($A53,'Data inputs'!$A$29:$A$39,0),MATCH($A$1,'Data inputs'!$B$28:$G$28,0)))</f>
        <v>10781472.294458872</v>
      </c>
      <c r="I53" s="32">
        <f>IF($B25*$D25*I40&gt;0,$B25*$D25*I40,INDEX('Data inputs'!$B$29:$G$39,MATCH($A53,'Data inputs'!$A$29:$A$39,0),MATCH($A$1,'Data inputs'!$B$28:$G$28,0)))</f>
        <v>10781472.294458872</v>
      </c>
      <c r="J53" s="32">
        <f>IF($B25*$D25*J40&gt;0,$B25*$D25*J40,INDEX('Data inputs'!$B$29:$G$39,MATCH($A53,'Data inputs'!$A$29:$A$39,0),MATCH($A$1,'Data inputs'!$B$28:$G$28,0)))</f>
        <v>10781472.294458872</v>
      </c>
      <c r="K53" s="32">
        <f>IF($B25*$D25*K40&gt;0,$B25*$D25*K40,INDEX('Data inputs'!$B$29:$G$39,MATCH($A53,'Data inputs'!$A$29:$A$39,0),MATCH($A$1,'Data inputs'!$B$28:$G$28,0)))</f>
        <v>10781472.294458872</v>
      </c>
      <c r="L53" s="5">
        <f t="shared" si="16"/>
        <v>10781472.29445887</v>
      </c>
      <c r="N53" s="5">
        <f t="shared" si="17"/>
        <v>10781472.294458872</v>
      </c>
    </row>
    <row r="54" spans="1:14" x14ac:dyDescent="0.25">
      <c r="A54" s="4" t="s">
        <v>15</v>
      </c>
      <c r="B54" s="13">
        <f>IF($B26*$D26*B41&gt;0,$B26*$D26*B41,INDEX('Data inputs'!$B$29:$G$39,MATCH($A54,'Data inputs'!$A$29:$A$39,0),MATCH($A$1,'Data inputs'!$B$28:$G$28,0)))</f>
        <v>93279669.445834026</v>
      </c>
      <c r="C54" s="13">
        <f>IF($B26*$D26*C41&gt;0,$B26*$D26*C41,INDEX('Data inputs'!$B$29:$G$39,MATCH($A54,'Data inputs'!$A$29:$A$39,0),MATCH($A$1,'Data inputs'!$B$28:$G$28,0)))</f>
        <v>93279669.445834026</v>
      </c>
      <c r="D54" s="13">
        <f>IF($B26*$D26*D41&gt;0,$B26*$D26*D41,INDEX('Data inputs'!$B$29:$G$39,MATCH($A54,'Data inputs'!$A$29:$A$39,0),MATCH($A$1,'Data inputs'!$B$28:$G$28,0)))</f>
        <v>93279669.445834026</v>
      </c>
      <c r="E54" s="13">
        <f>IF($B26*$D26*E41&gt;0,$B26*$D26*E41,INDEX('Data inputs'!$B$29:$G$39,MATCH($A54,'Data inputs'!$A$29:$A$39,0),MATCH($A$1,'Data inputs'!$B$28:$G$28,0)))</f>
        <v>93279669.445834026</v>
      </c>
      <c r="F54" s="13">
        <f>IF($B26*$D26*F41&gt;0,$B26*$D26*F41,INDEX('Data inputs'!$B$29:$G$39,MATCH($A54,'Data inputs'!$A$29:$A$39,0),MATCH($A$1,'Data inputs'!$B$28:$G$28,0)))</f>
        <v>93279669.445834026</v>
      </c>
      <c r="G54" s="13">
        <f>IF($B26*$D26*G41&gt;0,$B26*$D26*G41,INDEX('Data inputs'!$B$29:$G$39,MATCH($A54,'Data inputs'!$A$29:$A$39,0),MATCH($A$1,'Data inputs'!$B$28:$G$28,0)))</f>
        <v>93279669.445834026</v>
      </c>
      <c r="H54" s="13">
        <f>IF($B26*$D26*H41&gt;0,$B26*$D26*H41,INDEX('Data inputs'!$B$29:$G$39,MATCH($A54,'Data inputs'!$A$29:$A$39,0),MATCH($A$1,'Data inputs'!$B$28:$G$28,0)))</f>
        <v>93279669.445834026</v>
      </c>
      <c r="I54" s="13">
        <f>IF($B26*$D26*I41&gt;0,$B26*$D26*I41,INDEX('Data inputs'!$B$29:$G$39,MATCH($A54,'Data inputs'!$A$29:$A$39,0),MATCH($A$1,'Data inputs'!$B$28:$G$28,0)))</f>
        <v>93279669.445834026</v>
      </c>
      <c r="J54" s="13">
        <f>IF($B26*$D26*J41&gt;0,$B26*$D26*J41,INDEX('Data inputs'!$B$29:$G$39,MATCH($A54,'Data inputs'!$A$29:$A$39,0),MATCH($A$1,'Data inputs'!$B$28:$G$28,0)))</f>
        <v>93279669.445834026</v>
      </c>
      <c r="K54" s="13">
        <f>IF($B26*$D26*K41&gt;0,$B26*$D26*K41,INDEX('Data inputs'!$B$29:$G$39,MATCH($A54,'Data inputs'!$A$29:$A$39,0),MATCH($A$1,'Data inputs'!$B$28:$G$28,0)))</f>
        <v>93279669.445834026</v>
      </c>
      <c r="L54" s="5">
        <f t="shared" si="16"/>
        <v>93279669.445834026</v>
      </c>
      <c r="N54" s="5">
        <f t="shared" si="17"/>
        <v>93279669.445834026</v>
      </c>
    </row>
    <row r="55" spans="1:14" x14ac:dyDescent="0.25">
      <c r="B55" s="5">
        <f t="shared" ref="B55:K55" si="18">SUM(B44:B54)</f>
        <v>320984152.43693775</v>
      </c>
      <c r="C55" s="5">
        <f t="shared" si="18"/>
        <v>320984152.43693775</v>
      </c>
      <c r="D55" s="5">
        <f t="shared" si="18"/>
        <v>320984152.43693775</v>
      </c>
      <c r="E55" s="5">
        <f t="shared" si="18"/>
        <v>320984152.43693775</v>
      </c>
      <c r="F55" s="5">
        <f t="shared" si="18"/>
        <v>320984152.43693775</v>
      </c>
      <c r="G55" s="5">
        <f t="shared" si="18"/>
        <v>320984152.43693775</v>
      </c>
      <c r="H55" s="5">
        <f t="shared" si="18"/>
        <v>320984152.43693775</v>
      </c>
      <c r="I55" s="5">
        <f t="shared" si="18"/>
        <v>320984152.43693775</v>
      </c>
      <c r="J55" s="5">
        <f t="shared" si="18"/>
        <v>320984152.43693775</v>
      </c>
      <c r="K55" s="5">
        <f t="shared" si="18"/>
        <v>320984152.43693775</v>
      </c>
      <c r="L55" s="5"/>
    </row>
    <row r="56" spans="1:14" x14ac:dyDescent="0.25">
      <c r="B56" s="5"/>
      <c r="C56" s="5"/>
      <c r="D56" s="5"/>
      <c r="E56" s="5"/>
      <c r="F56" s="5"/>
      <c r="G56" s="5"/>
      <c r="H56" s="5"/>
      <c r="I56" s="5"/>
      <c r="J56" s="5"/>
      <c r="K56" s="5"/>
      <c r="L56" s="5"/>
    </row>
    <row r="57" spans="1:14" s="1" customFormat="1" ht="30" x14ac:dyDescent="0.25">
      <c r="A57" s="15" t="s">
        <v>56</v>
      </c>
      <c r="B57" s="12" t="str">
        <f>'Summary dashboard'!C4</f>
        <v>2023</v>
      </c>
      <c r="C57" s="12">
        <f t="shared" ref="C57:K57" si="19">B57+1</f>
        <v>2024</v>
      </c>
      <c r="D57" s="12">
        <f t="shared" si="19"/>
        <v>2025</v>
      </c>
      <c r="E57" s="12">
        <f t="shared" si="19"/>
        <v>2026</v>
      </c>
      <c r="F57" s="12">
        <f t="shared" si="19"/>
        <v>2027</v>
      </c>
      <c r="G57" s="12">
        <f t="shared" si="19"/>
        <v>2028</v>
      </c>
      <c r="H57" s="12">
        <f t="shared" si="19"/>
        <v>2029</v>
      </c>
      <c r="I57" s="12">
        <f t="shared" si="19"/>
        <v>2030</v>
      </c>
      <c r="J57" s="12">
        <f t="shared" si="19"/>
        <v>2031</v>
      </c>
      <c r="K57" s="12">
        <f t="shared" si="19"/>
        <v>2032</v>
      </c>
      <c r="L57" s="1" t="s">
        <v>28</v>
      </c>
    </row>
    <row r="58" spans="1:14" x14ac:dyDescent="0.25">
      <c r="A58" s="4" t="s">
        <v>35</v>
      </c>
      <c r="B58" s="5">
        <f>B44*'Data inputs'!$B14</f>
        <v>20422126.755174723</v>
      </c>
      <c r="C58" s="5">
        <f>C44*'Data inputs'!$B14</f>
        <v>20422126.755174723</v>
      </c>
      <c r="D58" s="5">
        <f>D44*'Data inputs'!$B14</f>
        <v>20422126.755174723</v>
      </c>
      <c r="E58" s="5">
        <f>E44*'Data inputs'!$B14</f>
        <v>20422126.755174723</v>
      </c>
      <c r="F58" s="5">
        <f>F44*'Data inputs'!$B14</f>
        <v>20422126.755174723</v>
      </c>
      <c r="G58" s="5">
        <f>G44*'Data inputs'!$B14</f>
        <v>20422126.755174723</v>
      </c>
      <c r="H58" s="5">
        <f>H44*'Data inputs'!$B14</f>
        <v>20422126.755174723</v>
      </c>
      <c r="I58" s="5">
        <f>I44*'Data inputs'!$B14</f>
        <v>20422126.755174723</v>
      </c>
      <c r="J58" s="5">
        <f>J44*'Data inputs'!$B14</f>
        <v>20422126.755174723</v>
      </c>
      <c r="K58" s="5">
        <f>K44*'Data inputs'!$B14</f>
        <v>20422126.755174723</v>
      </c>
      <c r="L58" s="5">
        <f t="shared" ref="L58:L68" si="20">AVERAGE(B58:K58)</f>
        <v>20422126.755174723</v>
      </c>
    </row>
    <row r="59" spans="1:14" x14ac:dyDescent="0.25">
      <c r="A59" s="4" t="s">
        <v>36</v>
      </c>
      <c r="B59" s="5">
        <f>B45*'Data inputs'!$B15</f>
        <v>4361716.0607665321</v>
      </c>
      <c r="C59" s="5">
        <f>C45*'Data inputs'!$B15</f>
        <v>4361716.0607665321</v>
      </c>
      <c r="D59" s="5">
        <f>D45*'Data inputs'!$B15</f>
        <v>4361716.0607665321</v>
      </c>
      <c r="E59" s="5">
        <f>E45*'Data inputs'!$B15</f>
        <v>4361716.0607665321</v>
      </c>
      <c r="F59" s="5">
        <f>F45*'Data inputs'!$B15</f>
        <v>4361716.0607665321</v>
      </c>
      <c r="G59" s="5">
        <f>G45*'Data inputs'!$B15</f>
        <v>4361716.0607665321</v>
      </c>
      <c r="H59" s="5">
        <f>H45*'Data inputs'!$B15</f>
        <v>4361716.0607665321</v>
      </c>
      <c r="I59" s="5">
        <f>I45*'Data inputs'!$B15</f>
        <v>4361716.0607665321</v>
      </c>
      <c r="J59" s="5">
        <f>J45*'Data inputs'!$B15</f>
        <v>4361716.0607665321</v>
      </c>
      <c r="K59" s="5">
        <f>K45*'Data inputs'!$B15</f>
        <v>4361716.0607665321</v>
      </c>
      <c r="L59" s="5">
        <f t="shared" si="20"/>
        <v>4361716.0607665321</v>
      </c>
    </row>
    <row r="60" spans="1:14" x14ac:dyDescent="0.25">
      <c r="A60" s="4" t="s">
        <v>11</v>
      </c>
      <c r="B60" s="5">
        <f>B46*'Data inputs'!$B16</f>
        <v>0</v>
      </c>
      <c r="C60" s="5">
        <f>C46*'Data inputs'!$B16</f>
        <v>0</v>
      </c>
      <c r="D60" s="5">
        <f>D46*'Data inputs'!$B16</f>
        <v>0</v>
      </c>
      <c r="E60" s="5">
        <f>E46*'Data inputs'!$B16</f>
        <v>0</v>
      </c>
      <c r="F60" s="5">
        <f>F46*'Data inputs'!$B16</f>
        <v>0</v>
      </c>
      <c r="G60" s="5">
        <f>G46*'Data inputs'!$B16</f>
        <v>0</v>
      </c>
      <c r="H60" s="5">
        <f>H46*'Data inputs'!$B16</f>
        <v>0</v>
      </c>
      <c r="I60" s="5">
        <f>I46*'Data inputs'!$B16</f>
        <v>0</v>
      </c>
      <c r="J60" s="5">
        <f>J46*'Data inputs'!$B16</f>
        <v>0</v>
      </c>
      <c r="K60" s="5">
        <f>K46*'Data inputs'!$B16</f>
        <v>0</v>
      </c>
      <c r="L60" s="5">
        <f t="shared" si="20"/>
        <v>0</v>
      </c>
    </row>
    <row r="61" spans="1:14" x14ac:dyDescent="0.25">
      <c r="A61" s="4" t="s">
        <v>124</v>
      </c>
      <c r="B61" s="5">
        <f>B47*'Data inputs'!$B17</f>
        <v>7249948.9602134582</v>
      </c>
      <c r="C61" s="5">
        <f>C47*'Data inputs'!$B17</f>
        <v>7249948.9602134582</v>
      </c>
      <c r="D61" s="5">
        <f>D47*'Data inputs'!$B17</f>
        <v>7249948.9602134582</v>
      </c>
      <c r="E61" s="5">
        <f>E47*'Data inputs'!$B17</f>
        <v>7249948.9602134582</v>
      </c>
      <c r="F61" s="5">
        <f>F47*'Data inputs'!$B17</f>
        <v>7249948.9602134582</v>
      </c>
      <c r="G61" s="5">
        <f>G47*'Data inputs'!$B17</f>
        <v>7249948.9602134582</v>
      </c>
      <c r="H61" s="5">
        <f>H47*'Data inputs'!$B17</f>
        <v>7249948.9602134582</v>
      </c>
      <c r="I61" s="5">
        <f>I47*'Data inputs'!$B17</f>
        <v>7249948.9602134582</v>
      </c>
      <c r="J61" s="5">
        <f>J47*'Data inputs'!$B17</f>
        <v>7249948.9602134582</v>
      </c>
      <c r="K61" s="5">
        <f>K47*'Data inputs'!$B17</f>
        <v>7249948.9602134582</v>
      </c>
      <c r="L61" s="5">
        <f t="shared" si="20"/>
        <v>7249948.9602134582</v>
      </c>
    </row>
    <row r="62" spans="1:14" x14ac:dyDescent="0.25">
      <c r="A62" s="4" t="s">
        <v>12</v>
      </c>
      <c r="B62" s="5">
        <f>B48*'Data inputs'!$B18</f>
        <v>8360690.9741551746</v>
      </c>
      <c r="C62" s="5">
        <f>C48*'Data inputs'!$B18</f>
        <v>8360690.9741551746</v>
      </c>
      <c r="D62" s="5">
        <f>D48*'Data inputs'!$B18</f>
        <v>8360690.9741551746</v>
      </c>
      <c r="E62" s="5">
        <f>E48*'Data inputs'!$B18</f>
        <v>8360690.9741551746</v>
      </c>
      <c r="F62" s="5">
        <f>F48*'Data inputs'!$B18</f>
        <v>8360690.9741551746</v>
      </c>
      <c r="G62" s="5">
        <f>G48*'Data inputs'!$B18</f>
        <v>8360690.9741551746</v>
      </c>
      <c r="H62" s="5">
        <f>H48*'Data inputs'!$B18</f>
        <v>8360690.9741551746</v>
      </c>
      <c r="I62" s="5">
        <f>I48*'Data inputs'!$B18</f>
        <v>8360690.9741551746</v>
      </c>
      <c r="J62" s="5">
        <f>J48*'Data inputs'!$B18</f>
        <v>8360690.9741551746</v>
      </c>
      <c r="K62" s="5">
        <f>K48*'Data inputs'!$B18</f>
        <v>8360690.9741551746</v>
      </c>
      <c r="L62" s="5">
        <f t="shared" si="20"/>
        <v>8360690.9741551746</v>
      </c>
    </row>
    <row r="63" spans="1:14" x14ac:dyDescent="0.25">
      <c r="A63" s="4" t="s">
        <v>13</v>
      </c>
      <c r="B63" s="5">
        <f>B49*'Data inputs'!$B19</f>
        <v>0</v>
      </c>
      <c r="C63" s="5">
        <f>C49*'Data inputs'!$B19</f>
        <v>0</v>
      </c>
      <c r="D63" s="5">
        <f>D49*'Data inputs'!$B19</f>
        <v>0</v>
      </c>
      <c r="E63" s="5">
        <f>E49*'Data inputs'!$B19</f>
        <v>0</v>
      </c>
      <c r="F63" s="5">
        <f>F49*'Data inputs'!$B19</f>
        <v>0</v>
      </c>
      <c r="G63" s="5">
        <f>G49*'Data inputs'!$B19</f>
        <v>0</v>
      </c>
      <c r="H63" s="5">
        <f>H49*'Data inputs'!$B19</f>
        <v>0</v>
      </c>
      <c r="I63" s="5">
        <f>I49*'Data inputs'!$B19</f>
        <v>0</v>
      </c>
      <c r="J63" s="5">
        <f>J49*'Data inputs'!$B19</f>
        <v>0</v>
      </c>
      <c r="K63" s="5">
        <f>K49*'Data inputs'!$B19</f>
        <v>0</v>
      </c>
      <c r="L63" s="5">
        <f t="shared" si="20"/>
        <v>0</v>
      </c>
    </row>
    <row r="64" spans="1:14" x14ac:dyDescent="0.25">
      <c r="A64" s="4" t="s">
        <v>14</v>
      </c>
      <c r="B64" s="5">
        <f>B50*'Data inputs'!$B20</f>
        <v>0</v>
      </c>
      <c r="C64" s="5">
        <f>C50*'Data inputs'!$B20</f>
        <v>0</v>
      </c>
      <c r="D64" s="5">
        <f>D50*'Data inputs'!$B20</f>
        <v>0</v>
      </c>
      <c r="E64" s="5">
        <f>E50*'Data inputs'!$B20</f>
        <v>0</v>
      </c>
      <c r="F64" s="5">
        <f>F50*'Data inputs'!$B20</f>
        <v>0</v>
      </c>
      <c r="G64" s="5">
        <f>G50*'Data inputs'!$B20</f>
        <v>0</v>
      </c>
      <c r="H64" s="5">
        <f>H50*'Data inputs'!$B20</f>
        <v>0</v>
      </c>
      <c r="I64" s="5">
        <f>I50*'Data inputs'!$B20</f>
        <v>0</v>
      </c>
      <c r="J64" s="5">
        <f>J50*'Data inputs'!$B20</f>
        <v>0</v>
      </c>
      <c r="K64" s="5">
        <f>K50*'Data inputs'!$B20</f>
        <v>0</v>
      </c>
      <c r="L64" s="5">
        <f t="shared" si="20"/>
        <v>0</v>
      </c>
    </row>
    <row r="65" spans="1:12" x14ac:dyDescent="0.25">
      <c r="A65" s="4" t="s">
        <v>125</v>
      </c>
      <c r="B65" s="5">
        <f>B51*'Data inputs'!$B21</f>
        <v>2212020.5512816031</v>
      </c>
      <c r="C65" s="5">
        <f>C51*'Data inputs'!$B21</f>
        <v>2212020.5512816031</v>
      </c>
      <c r="D65" s="5">
        <f>D51*'Data inputs'!$B21</f>
        <v>2212020.5512816031</v>
      </c>
      <c r="E65" s="5">
        <f>E51*'Data inputs'!$B21</f>
        <v>2212020.5512816031</v>
      </c>
      <c r="F65" s="5">
        <f>F51*'Data inputs'!$B21</f>
        <v>2212020.5512816031</v>
      </c>
      <c r="G65" s="5">
        <f>G51*'Data inputs'!$B21</f>
        <v>2212020.5512816031</v>
      </c>
      <c r="H65" s="5">
        <f>H51*'Data inputs'!$B21</f>
        <v>2212020.5512816031</v>
      </c>
      <c r="I65" s="5">
        <f>I51*'Data inputs'!$B21</f>
        <v>2212020.5512816031</v>
      </c>
      <c r="J65" s="5">
        <f>J51*'Data inputs'!$B21</f>
        <v>2212020.5512816031</v>
      </c>
      <c r="K65" s="5">
        <f>K51*'Data inputs'!$B21</f>
        <v>2212020.5512816031</v>
      </c>
      <c r="L65" s="5">
        <f t="shared" si="20"/>
        <v>2212020.5512816026</v>
      </c>
    </row>
    <row r="66" spans="1:12" x14ac:dyDescent="0.25">
      <c r="A66" s="4" t="s">
        <v>37</v>
      </c>
      <c r="B66" s="5">
        <f>B52*'Data inputs'!$B22</f>
        <v>50669226.084108166</v>
      </c>
      <c r="C66" s="5">
        <f>C52*'Data inputs'!$B22</f>
        <v>50669226.084108166</v>
      </c>
      <c r="D66" s="5">
        <f>D52*'Data inputs'!$B22</f>
        <v>50669226.084108166</v>
      </c>
      <c r="E66" s="5">
        <f>E52*'Data inputs'!$B22</f>
        <v>50669226.084108166</v>
      </c>
      <c r="F66" s="5">
        <f>F52*'Data inputs'!$B22</f>
        <v>50669226.084108166</v>
      </c>
      <c r="G66" s="5">
        <f>G52*'Data inputs'!$B22</f>
        <v>50669226.084108166</v>
      </c>
      <c r="H66" s="5">
        <f>H52*'Data inputs'!$B22</f>
        <v>50669226.084108166</v>
      </c>
      <c r="I66" s="5">
        <f>I52*'Data inputs'!$B22</f>
        <v>50669226.084108166</v>
      </c>
      <c r="J66" s="5">
        <f>J52*'Data inputs'!$B22</f>
        <v>50669226.084108166</v>
      </c>
      <c r="K66" s="5">
        <f>K52*'Data inputs'!$B22</f>
        <v>50669226.084108166</v>
      </c>
      <c r="L66" s="5">
        <f t="shared" si="20"/>
        <v>50669226.084108166</v>
      </c>
    </row>
    <row r="67" spans="1:12" x14ac:dyDescent="0.25">
      <c r="A67" s="4" t="s">
        <v>38</v>
      </c>
      <c r="B67" s="5">
        <f>B53*'Data inputs'!$B23</f>
        <v>1078147.2294458873</v>
      </c>
      <c r="C67" s="5">
        <f>C53*'Data inputs'!$B23</f>
        <v>1078147.2294458873</v>
      </c>
      <c r="D67" s="5">
        <f>D53*'Data inputs'!$B23</f>
        <v>1078147.2294458873</v>
      </c>
      <c r="E67" s="5">
        <f>E53*'Data inputs'!$B23</f>
        <v>1078147.2294458873</v>
      </c>
      <c r="F67" s="5">
        <f>F53*'Data inputs'!$B23</f>
        <v>1078147.2294458873</v>
      </c>
      <c r="G67" s="5">
        <f>G53*'Data inputs'!$B23</f>
        <v>1078147.2294458873</v>
      </c>
      <c r="H67" s="5">
        <f>H53*'Data inputs'!$B23</f>
        <v>1078147.2294458873</v>
      </c>
      <c r="I67" s="5">
        <f>I53*'Data inputs'!$B23</f>
        <v>1078147.2294458873</v>
      </c>
      <c r="J67" s="5">
        <f>J53*'Data inputs'!$B23</f>
        <v>1078147.2294458873</v>
      </c>
      <c r="K67" s="5">
        <f>K53*'Data inputs'!$B23</f>
        <v>1078147.2294458873</v>
      </c>
      <c r="L67" s="5">
        <f t="shared" si="20"/>
        <v>1078147.2294458875</v>
      </c>
    </row>
    <row r="68" spans="1:12" x14ac:dyDescent="0.25">
      <c r="A68" s="4" t="s">
        <v>15</v>
      </c>
      <c r="B68" s="13">
        <f>B54*'Data inputs'!$B24</f>
        <v>37311867.778333612</v>
      </c>
      <c r="C68" s="13">
        <f>C54*'Data inputs'!$B24</f>
        <v>37311867.778333612</v>
      </c>
      <c r="D68" s="13">
        <f>D54*'Data inputs'!$B24</f>
        <v>37311867.778333612</v>
      </c>
      <c r="E68" s="13">
        <f>E54*'Data inputs'!$B24</f>
        <v>37311867.778333612</v>
      </c>
      <c r="F68" s="13">
        <f>F54*'Data inputs'!$B24</f>
        <v>37311867.778333612</v>
      </c>
      <c r="G68" s="13">
        <f>G54*'Data inputs'!$B24</f>
        <v>37311867.778333612</v>
      </c>
      <c r="H68" s="13">
        <f>H54*'Data inputs'!$B24</f>
        <v>37311867.778333612</v>
      </c>
      <c r="I68" s="13">
        <f>I54*'Data inputs'!$B24</f>
        <v>37311867.778333612</v>
      </c>
      <c r="J68" s="13">
        <f>J54*'Data inputs'!$B24</f>
        <v>37311867.778333612</v>
      </c>
      <c r="K68" s="13">
        <f>K54*'Data inputs'!$B24</f>
        <v>37311867.778333612</v>
      </c>
      <c r="L68" s="5">
        <f t="shared" si="20"/>
        <v>37311867.778333612</v>
      </c>
    </row>
    <row r="69" spans="1:12" x14ac:dyDescent="0.25">
      <c r="B69" s="5">
        <f t="shared" ref="B69:K69" si="21">SUM(B58:B68)</f>
        <v>131665744.39347917</v>
      </c>
      <c r="C69" s="5">
        <f t="shared" si="21"/>
        <v>131665744.39347917</v>
      </c>
      <c r="D69" s="5">
        <f t="shared" si="21"/>
        <v>131665744.39347917</v>
      </c>
      <c r="E69" s="5">
        <f t="shared" si="21"/>
        <v>131665744.39347917</v>
      </c>
      <c r="F69" s="5">
        <f t="shared" si="21"/>
        <v>131665744.39347917</v>
      </c>
      <c r="G69" s="5">
        <f t="shared" si="21"/>
        <v>131665744.39347917</v>
      </c>
      <c r="H69" s="5">
        <f t="shared" si="21"/>
        <v>131665744.39347917</v>
      </c>
      <c r="I69" s="5">
        <f t="shared" si="21"/>
        <v>131665744.39347917</v>
      </c>
      <c r="J69" s="5">
        <f t="shared" si="21"/>
        <v>131665744.39347917</v>
      </c>
      <c r="K69" s="5">
        <f t="shared" si="21"/>
        <v>131665744.39347917</v>
      </c>
      <c r="L69" s="5"/>
    </row>
    <row r="72" spans="1:12" ht="30" x14ac:dyDescent="0.25">
      <c r="A72" s="15" t="s">
        <v>57</v>
      </c>
      <c r="B72" s="12" t="str">
        <f>'Summary dashboard'!C4</f>
        <v>2023</v>
      </c>
      <c r="C72" s="12">
        <f t="shared" ref="C72:K72" si="22">B57+1</f>
        <v>2024</v>
      </c>
      <c r="D72" s="12">
        <f t="shared" si="22"/>
        <v>2025</v>
      </c>
      <c r="E72" s="12">
        <f t="shared" si="22"/>
        <v>2026</v>
      </c>
      <c r="F72" s="12">
        <f t="shared" si="22"/>
        <v>2027</v>
      </c>
      <c r="G72" s="12">
        <f t="shared" si="22"/>
        <v>2028</v>
      </c>
      <c r="H72" s="12">
        <f t="shared" si="22"/>
        <v>2029</v>
      </c>
      <c r="I72" s="12">
        <f t="shared" si="22"/>
        <v>2030</v>
      </c>
      <c r="J72" s="12">
        <f t="shared" si="22"/>
        <v>2031</v>
      </c>
      <c r="K72" s="12">
        <f t="shared" si="22"/>
        <v>2032</v>
      </c>
      <c r="L72" s="1" t="s">
        <v>28</v>
      </c>
    </row>
    <row r="73" spans="1:12" x14ac:dyDescent="0.25">
      <c r="A73" s="4" t="s">
        <v>35</v>
      </c>
      <c r="B73" s="5">
        <f>B44*'Data inputs'!$C14</f>
        <v>15117678.247337135</v>
      </c>
      <c r="C73" s="5">
        <f>C44*'Data inputs'!$C14</f>
        <v>15117678.247337135</v>
      </c>
      <c r="D73" s="5">
        <f>D44*'Data inputs'!$C14</f>
        <v>15117678.247337135</v>
      </c>
      <c r="E73" s="5">
        <f>E44*'Data inputs'!$C14</f>
        <v>15117678.247337135</v>
      </c>
      <c r="F73" s="5">
        <f>F44*'Data inputs'!$C14</f>
        <v>15117678.247337135</v>
      </c>
      <c r="G73" s="5">
        <f>G44*'Data inputs'!$C14</f>
        <v>15117678.247337135</v>
      </c>
      <c r="H73" s="5">
        <f>H44*'Data inputs'!$C14</f>
        <v>15117678.247337135</v>
      </c>
      <c r="I73" s="5">
        <f>I44*'Data inputs'!$C14</f>
        <v>15117678.247337135</v>
      </c>
      <c r="J73" s="5">
        <f>J44*'Data inputs'!$C14</f>
        <v>15117678.247337135</v>
      </c>
      <c r="K73" s="5">
        <f>K44*'Data inputs'!$C14</f>
        <v>15117678.247337135</v>
      </c>
      <c r="L73" s="5">
        <f>AVERAGE(B73:K73)</f>
        <v>15117678.247337136</v>
      </c>
    </row>
    <row r="74" spans="1:12" x14ac:dyDescent="0.25">
      <c r="A74" s="4" t="s">
        <v>36</v>
      </c>
      <c r="B74" s="5">
        <f>B45*'Data inputs'!$C15</f>
        <v>1453905.353588844</v>
      </c>
      <c r="C74" s="5">
        <f>C45*'Data inputs'!$C15</f>
        <v>1453905.353588844</v>
      </c>
      <c r="D74" s="5">
        <f>D45*'Data inputs'!$C15</f>
        <v>1453905.353588844</v>
      </c>
      <c r="E74" s="5">
        <f>E45*'Data inputs'!$C15</f>
        <v>1453905.353588844</v>
      </c>
      <c r="F74" s="5">
        <f>F45*'Data inputs'!$C15</f>
        <v>1453905.353588844</v>
      </c>
      <c r="G74" s="5">
        <f>G45*'Data inputs'!$C15</f>
        <v>1453905.353588844</v>
      </c>
      <c r="H74" s="5">
        <f>H45*'Data inputs'!$C15</f>
        <v>1453905.353588844</v>
      </c>
      <c r="I74" s="5">
        <f>I45*'Data inputs'!$C15</f>
        <v>1453905.353588844</v>
      </c>
      <c r="J74" s="5">
        <f>J45*'Data inputs'!$C15</f>
        <v>1453905.353588844</v>
      </c>
      <c r="K74" s="5">
        <f>K45*'Data inputs'!$C15</f>
        <v>1453905.353588844</v>
      </c>
      <c r="L74" s="5">
        <f t="shared" ref="L74:L83" si="23">AVERAGE(B74:K74)</f>
        <v>1453905.353588844</v>
      </c>
    </row>
    <row r="75" spans="1:12" x14ac:dyDescent="0.25">
      <c r="A75" s="4" t="s">
        <v>11</v>
      </c>
      <c r="B75" s="5">
        <f>B46*'Data inputs'!$C16</f>
        <v>0</v>
      </c>
      <c r="C75" s="5">
        <f>C46*'Data inputs'!$C16</f>
        <v>0</v>
      </c>
      <c r="D75" s="5">
        <f>D46*'Data inputs'!$C16</f>
        <v>0</v>
      </c>
      <c r="E75" s="5">
        <f>E46*'Data inputs'!$C16</f>
        <v>0</v>
      </c>
      <c r="F75" s="5">
        <f>F46*'Data inputs'!$C16</f>
        <v>0</v>
      </c>
      <c r="G75" s="5">
        <f>G46*'Data inputs'!$C16</f>
        <v>0</v>
      </c>
      <c r="H75" s="5">
        <f>H46*'Data inputs'!$C16</f>
        <v>0</v>
      </c>
      <c r="I75" s="5">
        <f>I46*'Data inputs'!$C16</f>
        <v>0</v>
      </c>
      <c r="J75" s="5">
        <f>J46*'Data inputs'!$C16</f>
        <v>0</v>
      </c>
      <c r="K75" s="5">
        <f>K46*'Data inputs'!$C16</f>
        <v>0</v>
      </c>
      <c r="L75" s="5">
        <f t="shared" si="23"/>
        <v>0</v>
      </c>
    </row>
    <row r="76" spans="1:12" x14ac:dyDescent="0.25">
      <c r="A76" s="4" t="s">
        <v>124</v>
      </c>
      <c r="B76" s="5">
        <f>B47*'Data inputs'!$C17</f>
        <v>5437461.7201600941</v>
      </c>
      <c r="C76" s="5">
        <f>C47*'Data inputs'!$C17</f>
        <v>5437461.7201600941</v>
      </c>
      <c r="D76" s="5">
        <f>D47*'Data inputs'!$C17</f>
        <v>5437461.7201600941</v>
      </c>
      <c r="E76" s="5">
        <f>E47*'Data inputs'!$C17</f>
        <v>5437461.7201600941</v>
      </c>
      <c r="F76" s="5">
        <f>F47*'Data inputs'!$C17</f>
        <v>5437461.7201600941</v>
      </c>
      <c r="G76" s="5">
        <f>G47*'Data inputs'!$C17</f>
        <v>5437461.7201600941</v>
      </c>
      <c r="H76" s="5">
        <f>H47*'Data inputs'!$C17</f>
        <v>5437461.7201600941</v>
      </c>
      <c r="I76" s="5">
        <f>I47*'Data inputs'!$C17</f>
        <v>5437461.7201600941</v>
      </c>
      <c r="J76" s="5">
        <f>J47*'Data inputs'!$C17</f>
        <v>5437461.7201600941</v>
      </c>
      <c r="K76" s="5">
        <f>K47*'Data inputs'!$C17</f>
        <v>5437461.7201600941</v>
      </c>
      <c r="L76" s="5">
        <f t="shared" si="23"/>
        <v>5437461.720160095</v>
      </c>
    </row>
    <row r="77" spans="1:12" x14ac:dyDescent="0.25">
      <c r="A77" s="4" t="s">
        <v>12</v>
      </c>
      <c r="B77" s="5">
        <f>B48*'Data inputs'!$C18</f>
        <v>0</v>
      </c>
      <c r="C77" s="5">
        <f>C48*'Data inputs'!$C18</f>
        <v>0</v>
      </c>
      <c r="D77" s="5">
        <f>D48*'Data inputs'!$C18</f>
        <v>0</v>
      </c>
      <c r="E77" s="5">
        <f>E48*'Data inputs'!$C18</f>
        <v>0</v>
      </c>
      <c r="F77" s="5">
        <f>F48*'Data inputs'!$C18</f>
        <v>0</v>
      </c>
      <c r="G77" s="5">
        <f>G48*'Data inputs'!$C18</f>
        <v>0</v>
      </c>
      <c r="H77" s="5">
        <f>H48*'Data inputs'!$C18</f>
        <v>0</v>
      </c>
      <c r="I77" s="5">
        <f>I48*'Data inputs'!$C18</f>
        <v>0</v>
      </c>
      <c r="J77" s="5">
        <f>J48*'Data inputs'!$C18</f>
        <v>0</v>
      </c>
      <c r="K77" s="5">
        <f>K48*'Data inputs'!$C18</f>
        <v>0</v>
      </c>
      <c r="L77" s="5">
        <f t="shared" si="23"/>
        <v>0</v>
      </c>
    </row>
    <row r="78" spans="1:12" x14ac:dyDescent="0.25">
      <c r="A78" s="4" t="s">
        <v>13</v>
      </c>
      <c r="B78" s="5">
        <f>B49*'Data inputs'!$C19</f>
        <v>0</v>
      </c>
      <c r="C78" s="5">
        <f>C49*'Data inputs'!$C19</f>
        <v>0</v>
      </c>
      <c r="D78" s="5">
        <f>D49*'Data inputs'!$C19</f>
        <v>0</v>
      </c>
      <c r="E78" s="5">
        <f>E49*'Data inputs'!$C19</f>
        <v>0</v>
      </c>
      <c r="F78" s="5">
        <f>F49*'Data inputs'!$C19</f>
        <v>0</v>
      </c>
      <c r="G78" s="5">
        <f>G49*'Data inputs'!$C19</f>
        <v>0</v>
      </c>
      <c r="H78" s="5">
        <f>H49*'Data inputs'!$C19</f>
        <v>0</v>
      </c>
      <c r="I78" s="5">
        <f>I49*'Data inputs'!$C19</f>
        <v>0</v>
      </c>
      <c r="J78" s="5">
        <f>J49*'Data inputs'!$C19</f>
        <v>0</v>
      </c>
      <c r="K78" s="5">
        <f>K49*'Data inputs'!$C19</f>
        <v>0</v>
      </c>
      <c r="L78" s="5">
        <f t="shared" si="23"/>
        <v>0</v>
      </c>
    </row>
    <row r="79" spans="1:12" x14ac:dyDescent="0.25">
      <c r="A79" s="4" t="s">
        <v>14</v>
      </c>
      <c r="B79" s="5">
        <f>B50*'Data inputs'!$C20</f>
        <v>0</v>
      </c>
      <c r="C79" s="5">
        <f>C50*'Data inputs'!$C20</f>
        <v>0</v>
      </c>
      <c r="D79" s="5">
        <f>D50*'Data inputs'!$C20</f>
        <v>0</v>
      </c>
      <c r="E79" s="5">
        <f>E50*'Data inputs'!$C20</f>
        <v>0</v>
      </c>
      <c r="F79" s="5">
        <f>F50*'Data inputs'!$C20</f>
        <v>0</v>
      </c>
      <c r="G79" s="5">
        <f>G50*'Data inputs'!$C20</f>
        <v>0</v>
      </c>
      <c r="H79" s="5">
        <f>H50*'Data inputs'!$C20</f>
        <v>0</v>
      </c>
      <c r="I79" s="5">
        <f>I50*'Data inputs'!$C20</f>
        <v>0</v>
      </c>
      <c r="J79" s="5">
        <f>J50*'Data inputs'!$C20</f>
        <v>0</v>
      </c>
      <c r="K79" s="5">
        <f>K50*'Data inputs'!$C20</f>
        <v>0</v>
      </c>
      <c r="L79" s="5">
        <f t="shared" si="23"/>
        <v>0</v>
      </c>
    </row>
    <row r="80" spans="1:12" x14ac:dyDescent="0.25">
      <c r="A80" s="4" t="s">
        <v>125</v>
      </c>
      <c r="B80" s="5">
        <f>B51*'Data inputs'!$C21</f>
        <v>1659015.4134612025</v>
      </c>
      <c r="C80" s="5">
        <f>C51*'Data inputs'!$C21</f>
        <v>1659015.4134612025</v>
      </c>
      <c r="D80" s="5">
        <f>D51*'Data inputs'!$C21</f>
        <v>1659015.4134612025</v>
      </c>
      <c r="E80" s="5">
        <f>E51*'Data inputs'!$C21</f>
        <v>1659015.4134612025</v>
      </c>
      <c r="F80" s="5">
        <f>F51*'Data inputs'!$C21</f>
        <v>1659015.4134612025</v>
      </c>
      <c r="G80" s="5">
        <f>G51*'Data inputs'!$C21</f>
        <v>1659015.4134612025</v>
      </c>
      <c r="H80" s="5">
        <f>H51*'Data inputs'!$C21</f>
        <v>1659015.4134612025</v>
      </c>
      <c r="I80" s="5">
        <f>I51*'Data inputs'!$C21</f>
        <v>1659015.4134612025</v>
      </c>
      <c r="J80" s="5">
        <f>J51*'Data inputs'!$C21</f>
        <v>1659015.4134612025</v>
      </c>
      <c r="K80" s="5">
        <f>K51*'Data inputs'!$C21</f>
        <v>1659015.4134612025</v>
      </c>
      <c r="L80" s="5">
        <f t="shared" si="23"/>
        <v>1659015.4134612025</v>
      </c>
    </row>
    <row r="81" spans="1:12" x14ac:dyDescent="0.25">
      <c r="A81" s="4" t="s">
        <v>37</v>
      </c>
      <c r="B81" s="5">
        <f>B52*'Data inputs'!$C22</f>
        <v>34583757.485978596</v>
      </c>
      <c r="C81" s="5">
        <f>C52*'Data inputs'!$C22</f>
        <v>34583757.485978596</v>
      </c>
      <c r="D81" s="5">
        <f>D52*'Data inputs'!$C22</f>
        <v>34583757.485978596</v>
      </c>
      <c r="E81" s="5">
        <f>E52*'Data inputs'!$C22</f>
        <v>34583757.485978596</v>
      </c>
      <c r="F81" s="5">
        <f>F52*'Data inputs'!$C22</f>
        <v>34583757.485978596</v>
      </c>
      <c r="G81" s="5">
        <f>G52*'Data inputs'!$C22</f>
        <v>34583757.485978596</v>
      </c>
      <c r="H81" s="5">
        <f>H52*'Data inputs'!$C22</f>
        <v>34583757.485978596</v>
      </c>
      <c r="I81" s="5">
        <f>I52*'Data inputs'!$C22</f>
        <v>34583757.485978596</v>
      </c>
      <c r="J81" s="5">
        <f>J52*'Data inputs'!$C22</f>
        <v>34583757.485978596</v>
      </c>
      <c r="K81" s="5">
        <f>K52*'Data inputs'!$C22</f>
        <v>34583757.485978596</v>
      </c>
      <c r="L81" s="5">
        <f t="shared" si="23"/>
        <v>34583757.485978596</v>
      </c>
    </row>
    <row r="82" spans="1:12" x14ac:dyDescent="0.25">
      <c r="A82" s="4" t="s">
        <v>38</v>
      </c>
      <c r="B82" s="5">
        <f>B53*'Data inputs'!$C23</f>
        <v>0</v>
      </c>
      <c r="C82" s="5">
        <f>C53*'Data inputs'!$C23</f>
        <v>0</v>
      </c>
      <c r="D82" s="5">
        <f>D53*'Data inputs'!$C23</f>
        <v>0</v>
      </c>
      <c r="E82" s="5">
        <f>E53*'Data inputs'!$C23</f>
        <v>0</v>
      </c>
      <c r="F82" s="5">
        <f>F53*'Data inputs'!$C23</f>
        <v>0</v>
      </c>
      <c r="G82" s="5">
        <f>G53*'Data inputs'!$C23</f>
        <v>0</v>
      </c>
      <c r="H82" s="5">
        <f>H53*'Data inputs'!$C23</f>
        <v>0</v>
      </c>
      <c r="I82" s="5">
        <f>I53*'Data inputs'!$C23</f>
        <v>0</v>
      </c>
      <c r="J82" s="5">
        <f>J53*'Data inputs'!$C23</f>
        <v>0</v>
      </c>
      <c r="K82" s="5">
        <f>K53*'Data inputs'!$C23</f>
        <v>0</v>
      </c>
      <c r="L82" s="5">
        <f t="shared" si="23"/>
        <v>0</v>
      </c>
    </row>
    <row r="83" spans="1:12" x14ac:dyDescent="0.25">
      <c r="A83" s="4" t="s">
        <v>15</v>
      </c>
      <c r="B83" s="13">
        <f>B54*'Data inputs'!$C24</f>
        <v>18655933.889166802</v>
      </c>
      <c r="C83" s="13">
        <f>C54*'Data inputs'!$C24</f>
        <v>18655933.889166802</v>
      </c>
      <c r="D83" s="13">
        <f>D54*'Data inputs'!$C24</f>
        <v>18655933.889166802</v>
      </c>
      <c r="E83" s="13">
        <f>E54*'Data inputs'!$C24</f>
        <v>18655933.889166802</v>
      </c>
      <c r="F83" s="13">
        <f>F54*'Data inputs'!$C24</f>
        <v>18655933.889166802</v>
      </c>
      <c r="G83" s="13">
        <f>G54*'Data inputs'!$C24</f>
        <v>18655933.889166802</v>
      </c>
      <c r="H83" s="13">
        <f>H54*'Data inputs'!$C24</f>
        <v>18655933.889166802</v>
      </c>
      <c r="I83" s="13">
        <f>I54*'Data inputs'!$C24</f>
        <v>18655933.889166802</v>
      </c>
      <c r="J83" s="13">
        <f>J54*'Data inputs'!$C24</f>
        <v>18655933.889166802</v>
      </c>
      <c r="K83" s="13">
        <f>K54*'Data inputs'!$C24</f>
        <v>18655933.889166802</v>
      </c>
      <c r="L83" s="5">
        <f t="shared" si="23"/>
        <v>18655933.889166802</v>
      </c>
    </row>
    <row r="84" spans="1:12" x14ac:dyDescent="0.25">
      <c r="B84" s="5">
        <f>SUM(B73:B83)</f>
        <v>76907752.109692663</v>
      </c>
      <c r="C84" s="5">
        <f t="shared" ref="C84:K84" si="24">SUM(C73:C83)</f>
        <v>76907752.109692663</v>
      </c>
      <c r="D84" s="5">
        <f t="shared" si="24"/>
        <v>76907752.109692663</v>
      </c>
      <c r="E84" s="5">
        <f t="shared" si="24"/>
        <v>76907752.109692663</v>
      </c>
      <c r="F84" s="5">
        <f t="shared" si="24"/>
        <v>76907752.109692663</v>
      </c>
      <c r="G84" s="5">
        <f t="shared" si="24"/>
        <v>76907752.109692663</v>
      </c>
      <c r="H84" s="5">
        <f t="shared" si="24"/>
        <v>76907752.109692663</v>
      </c>
      <c r="I84" s="5">
        <f t="shared" si="24"/>
        <v>76907752.109692663</v>
      </c>
      <c r="J84" s="5">
        <f t="shared" si="24"/>
        <v>76907752.109692663</v>
      </c>
      <c r="K84" s="5">
        <f t="shared" si="24"/>
        <v>76907752.109692663</v>
      </c>
      <c r="L84" s="5"/>
    </row>
    <row r="86" spans="1:12" ht="30" x14ac:dyDescent="0.25">
      <c r="A86" s="15" t="s">
        <v>58</v>
      </c>
      <c r="B86" s="12" t="str">
        <f>'Summary dashboard'!C4</f>
        <v>2023</v>
      </c>
      <c r="C86" s="49">
        <f t="shared" ref="C86:K86" si="25">B86+1</f>
        <v>2024</v>
      </c>
      <c r="D86" s="49">
        <f t="shared" si="25"/>
        <v>2025</v>
      </c>
      <c r="E86" s="49">
        <f t="shared" si="25"/>
        <v>2026</v>
      </c>
      <c r="F86" s="49">
        <f t="shared" si="25"/>
        <v>2027</v>
      </c>
      <c r="G86" s="49">
        <f t="shared" si="25"/>
        <v>2028</v>
      </c>
      <c r="H86" s="49">
        <f t="shared" si="25"/>
        <v>2029</v>
      </c>
      <c r="I86" s="49">
        <f t="shared" si="25"/>
        <v>2030</v>
      </c>
      <c r="J86" s="49">
        <f t="shared" si="25"/>
        <v>2031</v>
      </c>
      <c r="K86" s="49">
        <f t="shared" si="25"/>
        <v>2032</v>
      </c>
      <c r="L86" s="1" t="s">
        <v>28</v>
      </c>
    </row>
    <row r="87" spans="1:12" x14ac:dyDescent="0.25">
      <c r="A87" s="4" t="s">
        <v>35</v>
      </c>
      <c r="B87" s="5">
        <f>(B73+B58)/2</f>
        <v>17769902.501255929</v>
      </c>
      <c r="C87" s="5">
        <f t="shared" ref="C87:K87" si="26">(C73+C58)/2</f>
        <v>17769902.501255929</v>
      </c>
      <c r="D87" s="5">
        <f t="shared" si="26"/>
        <v>17769902.501255929</v>
      </c>
      <c r="E87" s="5">
        <f t="shared" si="26"/>
        <v>17769902.501255929</v>
      </c>
      <c r="F87" s="5">
        <f t="shared" si="26"/>
        <v>17769902.501255929</v>
      </c>
      <c r="G87" s="5">
        <f t="shared" si="26"/>
        <v>17769902.501255929</v>
      </c>
      <c r="H87" s="5">
        <f t="shared" si="26"/>
        <v>17769902.501255929</v>
      </c>
      <c r="I87" s="5">
        <f t="shared" si="26"/>
        <v>17769902.501255929</v>
      </c>
      <c r="J87" s="5">
        <f t="shared" si="26"/>
        <v>17769902.501255929</v>
      </c>
      <c r="K87" s="5">
        <f t="shared" si="26"/>
        <v>17769902.501255929</v>
      </c>
      <c r="L87" s="5">
        <f t="shared" ref="L87:L97" si="27">AVERAGE(B87:K87)</f>
        <v>17769902.501255929</v>
      </c>
    </row>
    <row r="88" spans="1:12" x14ac:dyDescent="0.25">
      <c r="A88" s="4" t="s">
        <v>36</v>
      </c>
      <c r="B88" s="5">
        <f t="shared" ref="B88:K97" si="28">(B74+B59)/2</f>
        <v>2907810.7071776879</v>
      </c>
      <c r="C88" s="5">
        <f t="shared" si="28"/>
        <v>2907810.7071776879</v>
      </c>
      <c r="D88" s="5">
        <f t="shared" si="28"/>
        <v>2907810.7071776879</v>
      </c>
      <c r="E88" s="5">
        <f t="shared" si="28"/>
        <v>2907810.7071776879</v>
      </c>
      <c r="F88" s="5">
        <f t="shared" si="28"/>
        <v>2907810.7071776879</v>
      </c>
      <c r="G88" s="5">
        <f t="shared" si="28"/>
        <v>2907810.7071776879</v>
      </c>
      <c r="H88" s="5">
        <f t="shared" si="28"/>
        <v>2907810.7071776879</v>
      </c>
      <c r="I88" s="5">
        <f t="shared" si="28"/>
        <v>2907810.7071776879</v>
      </c>
      <c r="J88" s="5">
        <f t="shared" si="28"/>
        <v>2907810.7071776879</v>
      </c>
      <c r="K88" s="5">
        <f t="shared" si="28"/>
        <v>2907810.7071776879</v>
      </c>
      <c r="L88" s="5">
        <f t="shared" si="27"/>
        <v>2907810.7071776879</v>
      </c>
    </row>
    <row r="89" spans="1:12" x14ac:dyDescent="0.25">
      <c r="A89" s="4" t="s">
        <v>11</v>
      </c>
      <c r="B89" s="5">
        <f t="shared" si="28"/>
        <v>0</v>
      </c>
      <c r="C89" s="5">
        <f t="shared" si="28"/>
        <v>0</v>
      </c>
      <c r="D89" s="5">
        <f t="shared" si="28"/>
        <v>0</v>
      </c>
      <c r="E89" s="5">
        <f t="shared" si="28"/>
        <v>0</v>
      </c>
      <c r="F89" s="5">
        <f t="shared" si="28"/>
        <v>0</v>
      </c>
      <c r="G89" s="5">
        <f t="shared" si="28"/>
        <v>0</v>
      </c>
      <c r="H89" s="5">
        <f t="shared" si="28"/>
        <v>0</v>
      </c>
      <c r="I89" s="5">
        <f t="shared" si="28"/>
        <v>0</v>
      </c>
      <c r="J89" s="5">
        <f t="shared" si="28"/>
        <v>0</v>
      </c>
      <c r="K89" s="5">
        <f t="shared" si="28"/>
        <v>0</v>
      </c>
      <c r="L89" s="5">
        <f t="shared" si="27"/>
        <v>0</v>
      </c>
    </row>
    <row r="90" spans="1:12" x14ac:dyDescent="0.25">
      <c r="A90" s="4" t="s">
        <v>124</v>
      </c>
      <c r="B90" s="5">
        <f t="shared" si="28"/>
        <v>6343705.3401867766</v>
      </c>
      <c r="C90" s="5">
        <f t="shared" si="28"/>
        <v>6343705.3401867766</v>
      </c>
      <c r="D90" s="5">
        <f t="shared" si="28"/>
        <v>6343705.3401867766</v>
      </c>
      <c r="E90" s="5">
        <f t="shared" si="28"/>
        <v>6343705.3401867766</v>
      </c>
      <c r="F90" s="5">
        <f t="shared" si="28"/>
        <v>6343705.3401867766</v>
      </c>
      <c r="G90" s="5">
        <f t="shared" si="28"/>
        <v>6343705.3401867766</v>
      </c>
      <c r="H90" s="5">
        <f t="shared" si="28"/>
        <v>6343705.3401867766</v>
      </c>
      <c r="I90" s="5">
        <f t="shared" si="28"/>
        <v>6343705.3401867766</v>
      </c>
      <c r="J90" s="5">
        <f t="shared" si="28"/>
        <v>6343705.3401867766</v>
      </c>
      <c r="K90" s="5">
        <f t="shared" si="28"/>
        <v>6343705.3401867766</v>
      </c>
      <c r="L90" s="5">
        <f t="shared" si="27"/>
        <v>6343705.3401867757</v>
      </c>
    </row>
    <row r="91" spans="1:12" x14ac:dyDescent="0.25">
      <c r="A91" s="4" t="s">
        <v>12</v>
      </c>
      <c r="B91" s="5">
        <f t="shared" si="28"/>
        <v>4180345.4870775873</v>
      </c>
      <c r="C91" s="5">
        <f t="shared" si="28"/>
        <v>4180345.4870775873</v>
      </c>
      <c r="D91" s="5">
        <f t="shared" si="28"/>
        <v>4180345.4870775873</v>
      </c>
      <c r="E91" s="5">
        <f t="shared" si="28"/>
        <v>4180345.4870775873</v>
      </c>
      <c r="F91" s="5">
        <f t="shared" si="28"/>
        <v>4180345.4870775873</v>
      </c>
      <c r="G91" s="5">
        <f t="shared" si="28"/>
        <v>4180345.4870775873</v>
      </c>
      <c r="H91" s="5">
        <f t="shared" si="28"/>
        <v>4180345.4870775873</v>
      </c>
      <c r="I91" s="5">
        <f t="shared" si="28"/>
        <v>4180345.4870775873</v>
      </c>
      <c r="J91" s="5">
        <f t="shared" si="28"/>
        <v>4180345.4870775873</v>
      </c>
      <c r="K91" s="5">
        <f t="shared" si="28"/>
        <v>4180345.4870775873</v>
      </c>
      <c r="L91" s="5">
        <f t="shared" si="27"/>
        <v>4180345.4870775873</v>
      </c>
    </row>
    <row r="92" spans="1:12" x14ac:dyDescent="0.25">
      <c r="A92" s="4" t="s">
        <v>13</v>
      </c>
      <c r="B92" s="5">
        <f t="shared" si="28"/>
        <v>0</v>
      </c>
      <c r="C92" s="5">
        <f t="shared" si="28"/>
        <v>0</v>
      </c>
      <c r="D92" s="5">
        <f t="shared" si="28"/>
        <v>0</v>
      </c>
      <c r="E92" s="5">
        <f t="shared" si="28"/>
        <v>0</v>
      </c>
      <c r="F92" s="5">
        <f t="shared" si="28"/>
        <v>0</v>
      </c>
      <c r="G92" s="5">
        <f t="shared" si="28"/>
        <v>0</v>
      </c>
      <c r="H92" s="5">
        <f t="shared" si="28"/>
        <v>0</v>
      </c>
      <c r="I92" s="5">
        <f t="shared" si="28"/>
        <v>0</v>
      </c>
      <c r="J92" s="5">
        <f t="shared" si="28"/>
        <v>0</v>
      </c>
      <c r="K92" s="5">
        <f t="shared" si="28"/>
        <v>0</v>
      </c>
      <c r="L92" s="5">
        <f t="shared" si="27"/>
        <v>0</v>
      </c>
    </row>
    <row r="93" spans="1:12" x14ac:dyDescent="0.25">
      <c r="A93" s="4" t="s">
        <v>14</v>
      </c>
      <c r="B93" s="5">
        <f t="shared" si="28"/>
        <v>0</v>
      </c>
      <c r="C93" s="5">
        <f t="shared" si="28"/>
        <v>0</v>
      </c>
      <c r="D93" s="5">
        <f t="shared" si="28"/>
        <v>0</v>
      </c>
      <c r="E93" s="5">
        <f t="shared" si="28"/>
        <v>0</v>
      </c>
      <c r="F93" s="5">
        <f t="shared" si="28"/>
        <v>0</v>
      </c>
      <c r="G93" s="5">
        <f t="shared" si="28"/>
        <v>0</v>
      </c>
      <c r="H93" s="5">
        <f t="shared" si="28"/>
        <v>0</v>
      </c>
      <c r="I93" s="5">
        <f t="shared" si="28"/>
        <v>0</v>
      </c>
      <c r="J93" s="5">
        <f t="shared" si="28"/>
        <v>0</v>
      </c>
      <c r="K93" s="5">
        <f t="shared" si="28"/>
        <v>0</v>
      </c>
      <c r="L93" s="5">
        <f t="shared" si="27"/>
        <v>0</v>
      </c>
    </row>
    <row r="94" spans="1:12" x14ac:dyDescent="0.25">
      <c r="A94" s="4" t="s">
        <v>125</v>
      </c>
      <c r="B94" s="5">
        <f t="shared" si="28"/>
        <v>1935517.9823714029</v>
      </c>
      <c r="C94" s="5">
        <f t="shared" si="28"/>
        <v>1935517.9823714029</v>
      </c>
      <c r="D94" s="5">
        <f t="shared" si="28"/>
        <v>1935517.9823714029</v>
      </c>
      <c r="E94" s="5">
        <f t="shared" si="28"/>
        <v>1935517.9823714029</v>
      </c>
      <c r="F94" s="5">
        <f t="shared" si="28"/>
        <v>1935517.9823714029</v>
      </c>
      <c r="G94" s="5">
        <f t="shared" si="28"/>
        <v>1935517.9823714029</v>
      </c>
      <c r="H94" s="5">
        <f t="shared" si="28"/>
        <v>1935517.9823714029</v>
      </c>
      <c r="I94" s="5">
        <f t="shared" si="28"/>
        <v>1935517.9823714029</v>
      </c>
      <c r="J94" s="5">
        <f t="shared" si="28"/>
        <v>1935517.9823714029</v>
      </c>
      <c r="K94" s="5">
        <f t="shared" si="28"/>
        <v>1935517.9823714029</v>
      </c>
      <c r="L94" s="5">
        <f t="shared" si="27"/>
        <v>1935517.9823714034</v>
      </c>
    </row>
    <row r="95" spans="1:12" x14ac:dyDescent="0.25">
      <c r="A95" s="4" t="s">
        <v>37</v>
      </c>
      <c r="B95" s="5">
        <f t="shared" si="28"/>
        <v>42626491.785043381</v>
      </c>
      <c r="C95" s="5">
        <f t="shared" si="28"/>
        <v>42626491.785043381</v>
      </c>
      <c r="D95" s="5">
        <f t="shared" si="28"/>
        <v>42626491.785043381</v>
      </c>
      <c r="E95" s="5">
        <f t="shared" si="28"/>
        <v>42626491.785043381</v>
      </c>
      <c r="F95" s="5">
        <f t="shared" si="28"/>
        <v>42626491.785043381</v>
      </c>
      <c r="G95" s="5">
        <f t="shared" si="28"/>
        <v>42626491.785043381</v>
      </c>
      <c r="H95" s="5">
        <f t="shared" si="28"/>
        <v>42626491.785043381</v>
      </c>
      <c r="I95" s="5">
        <f t="shared" si="28"/>
        <v>42626491.785043381</v>
      </c>
      <c r="J95" s="5">
        <f t="shared" si="28"/>
        <v>42626491.785043381</v>
      </c>
      <c r="K95" s="5">
        <f t="shared" si="28"/>
        <v>42626491.785043381</v>
      </c>
      <c r="L95" s="5">
        <f t="shared" si="27"/>
        <v>42626491.785043374</v>
      </c>
    </row>
    <row r="96" spans="1:12" x14ac:dyDescent="0.25">
      <c r="A96" s="4" t="s">
        <v>38</v>
      </c>
      <c r="B96" s="5">
        <f t="shared" si="28"/>
        <v>539073.61472294363</v>
      </c>
      <c r="C96" s="5">
        <f t="shared" si="28"/>
        <v>539073.61472294363</v>
      </c>
      <c r="D96" s="5">
        <f t="shared" si="28"/>
        <v>539073.61472294363</v>
      </c>
      <c r="E96" s="5">
        <f t="shared" si="28"/>
        <v>539073.61472294363</v>
      </c>
      <c r="F96" s="5">
        <f t="shared" si="28"/>
        <v>539073.61472294363</v>
      </c>
      <c r="G96" s="5">
        <f t="shared" si="28"/>
        <v>539073.61472294363</v>
      </c>
      <c r="H96" s="5">
        <f t="shared" si="28"/>
        <v>539073.61472294363</v>
      </c>
      <c r="I96" s="5">
        <f t="shared" si="28"/>
        <v>539073.61472294363</v>
      </c>
      <c r="J96" s="5">
        <f t="shared" si="28"/>
        <v>539073.61472294363</v>
      </c>
      <c r="K96" s="5">
        <f t="shared" si="28"/>
        <v>539073.61472294363</v>
      </c>
      <c r="L96" s="5">
        <f t="shared" si="27"/>
        <v>539073.61472294375</v>
      </c>
    </row>
    <row r="97" spans="1:12" x14ac:dyDescent="0.25">
      <c r="A97" s="4" t="s">
        <v>15</v>
      </c>
      <c r="B97" s="13">
        <f t="shared" si="28"/>
        <v>27983900.833750207</v>
      </c>
      <c r="C97" s="13">
        <f t="shared" si="28"/>
        <v>27983900.833750207</v>
      </c>
      <c r="D97" s="13">
        <f t="shared" si="28"/>
        <v>27983900.833750207</v>
      </c>
      <c r="E97" s="13">
        <f t="shared" si="28"/>
        <v>27983900.833750207</v>
      </c>
      <c r="F97" s="13">
        <f t="shared" si="28"/>
        <v>27983900.833750207</v>
      </c>
      <c r="G97" s="13">
        <f t="shared" si="28"/>
        <v>27983900.833750207</v>
      </c>
      <c r="H97" s="13">
        <f t="shared" si="28"/>
        <v>27983900.833750207</v>
      </c>
      <c r="I97" s="13">
        <f t="shared" si="28"/>
        <v>27983900.833750207</v>
      </c>
      <c r="J97" s="13">
        <f t="shared" si="28"/>
        <v>27983900.833750207</v>
      </c>
      <c r="K97" s="13">
        <f t="shared" si="28"/>
        <v>27983900.833750207</v>
      </c>
      <c r="L97" s="5">
        <f t="shared" si="27"/>
        <v>27983900.833750211</v>
      </c>
    </row>
    <row r="98" spans="1:12" x14ac:dyDescent="0.25">
      <c r="B98" s="5">
        <f t="shared" ref="B98:K98" si="29">SUM(B87:B97)</f>
        <v>104286748.25158592</v>
      </c>
      <c r="C98" s="5">
        <f t="shared" si="29"/>
        <v>104286748.25158592</v>
      </c>
      <c r="D98" s="5">
        <f t="shared" si="29"/>
        <v>104286748.25158592</v>
      </c>
      <c r="E98" s="5">
        <f t="shared" si="29"/>
        <v>104286748.25158592</v>
      </c>
      <c r="F98" s="5">
        <f t="shared" si="29"/>
        <v>104286748.25158592</v>
      </c>
      <c r="G98" s="5">
        <f t="shared" si="29"/>
        <v>104286748.25158592</v>
      </c>
      <c r="H98" s="5">
        <f t="shared" si="29"/>
        <v>104286748.25158592</v>
      </c>
      <c r="I98" s="5">
        <f t="shared" si="29"/>
        <v>104286748.25158592</v>
      </c>
      <c r="J98" s="5">
        <f t="shared" si="29"/>
        <v>104286748.25158592</v>
      </c>
      <c r="K98" s="5">
        <f t="shared" si="29"/>
        <v>104286748.25158592</v>
      </c>
      <c r="L98" s="5"/>
    </row>
    <row r="100" spans="1:12" x14ac:dyDescent="0.25">
      <c r="A100" s="21" t="s">
        <v>52</v>
      </c>
      <c r="B100" s="21" t="str">
        <f>'Summary dashboard'!C4</f>
        <v>2023</v>
      </c>
      <c r="C100" s="21">
        <f>B100+1</f>
        <v>2024</v>
      </c>
      <c r="D100" s="21">
        <f t="shared" ref="D100:K100" si="30">C100+1</f>
        <v>2025</v>
      </c>
      <c r="E100" s="21">
        <f t="shared" si="30"/>
        <v>2026</v>
      </c>
      <c r="F100" s="21">
        <f t="shared" si="30"/>
        <v>2027</v>
      </c>
      <c r="G100" s="21">
        <f t="shared" si="30"/>
        <v>2028</v>
      </c>
      <c r="H100" s="21">
        <f t="shared" si="30"/>
        <v>2029</v>
      </c>
      <c r="I100" s="21">
        <f t="shared" si="30"/>
        <v>2030</v>
      </c>
      <c r="J100" s="21">
        <f t="shared" si="30"/>
        <v>2031</v>
      </c>
      <c r="K100" s="21">
        <f t="shared" si="30"/>
        <v>2032</v>
      </c>
    </row>
    <row r="101" spans="1:12" x14ac:dyDescent="0.25">
      <c r="A101" t="s">
        <v>73</v>
      </c>
      <c r="B101" s="16">
        <f>SUM(B87:B97)/SUM(B44:B54)</f>
        <v>0.32489687562402209</v>
      </c>
      <c r="C101" s="16">
        <f t="shared" ref="C101:K101" si="31">SUM(C87:C97)/SUM(C44:C54)</f>
        <v>0.32489687562402209</v>
      </c>
      <c r="D101" s="16">
        <f t="shared" si="31"/>
        <v>0.32489687562402209</v>
      </c>
      <c r="E101" s="16">
        <f t="shared" si="31"/>
        <v>0.32489687562402209</v>
      </c>
      <c r="F101" s="16">
        <f t="shared" si="31"/>
        <v>0.32489687562402209</v>
      </c>
      <c r="G101" s="16">
        <f t="shared" si="31"/>
        <v>0.32489687562402209</v>
      </c>
      <c r="H101" s="16">
        <f t="shared" si="31"/>
        <v>0.32489687562402209</v>
      </c>
      <c r="I101" s="16">
        <f t="shared" si="31"/>
        <v>0.32489687562402209</v>
      </c>
      <c r="J101" s="16">
        <f t="shared" si="31"/>
        <v>0.32489687562402209</v>
      </c>
      <c r="K101" s="16">
        <f t="shared" si="31"/>
        <v>0.32489687562402209</v>
      </c>
    </row>
    <row r="102" spans="1:12" x14ac:dyDescent="0.25">
      <c r="A102" t="s">
        <v>70</v>
      </c>
      <c r="B102" s="16">
        <f>SUM(B84:K84)/SUM($B$55:$K$55)</f>
        <v>0.23959984169250345</v>
      </c>
    </row>
    <row r="103" spans="1:12" x14ac:dyDescent="0.25">
      <c r="A103" t="s">
        <v>71</v>
      </c>
      <c r="B103" s="16">
        <f>SUM(B98:K98)/SUM($B$55:$K$55)</f>
        <v>0.32489687562402214</v>
      </c>
    </row>
    <row r="104" spans="1:12" x14ac:dyDescent="0.25">
      <c r="A104" t="s">
        <v>72</v>
      </c>
      <c r="B104" s="16">
        <f>SUM(B69:K69)/SUM($B$55:$K$55)</f>
        <v>0.41019390955554069</v>
      </c>
    </row>
  </sheetData>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BDD3D17D-4BBE-475A-A992-62215B049B90}">
          <x14:formula1>
            <xm:f>Lists!$C$2:$C$7</xm:f>
          </x14:formula1>
          <xm:sqref>A1</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359E5B-32F5-4BE0-BA30-C331B0C0D794}">
  <dimension ref="A1:N104"/>
  <sheetViews>
    <sheetView workbookViewId="0">
      <selection activeCell="A4" sqref="A4"/>
    </sheetView>
  </sheetViews>
  <sheetFormatPr defaultRowHeight="15" x14ac:dyDescent="0.25"/>
  <cols>
    <col min="1" max="1" width="34" customWidth="1"/>
    <col min="2" max="3" width="12.5703125" customWidth="1"/>
    <col min="4" max="4" width="13.85546875" customWidth="1"/>
    <col min="5" max="13" width="12.5703125" customWidth="1"/>
    <col min="14" max="14" width="12.140625" bestFit="1" customWidth="1"/>
  </cols>
  <sheetData>
    <row r="1" spans="1:11" s="3" customFormat="1" x14ac:dyDescent="0.25">
      <c r="A1" s="2" t="s">
        <v>32</v>
      </c>
    </row>
    <row r="2" spans="1:11" x14ac:dyDescent="0.25">
      <c r="A2" t="s">
        <v>19</v>
      </c>
      <c r="B2" s="12" t="str">
        <f>'Summary dashboard'!C4</f>
        <v>2023</v>
      </c>
      <c r="C2" s="12">
        <f>B2+1</f>
        <v>2024</v>
      </c>
      <c r="D2" s="12">
        <f t="shared" ref="D2:K2" si="0">C2+1</f>
        <v>2025</v>
      </c>
      <c r="E2" s="12">
        <f t="shared" si="0"/>
        <v>2026</v>
      </c>
      <c r="F2" s="12">
        <f t="shared" si="0"/>
        <v>2027</v>
      </c>
      <c r="G2" s="12">
        <f t="shared" si="0"/>
        <v>2028</v>
      </c>
      <c r="H2" s="12">
        <f t="shared" si="0"/>
        <v>2029</v>
      </c>
      <c r="I2" s="12">
        <f t="shared" si="0"/>
        <v>2030</v>
      </c>
      <c r="J2" s="12">
        <f t="shared" si="0"/>
        <v>2031</v>
      </c>
      <c r="K2" s="12">
        <f t="shared" si="0"/>
        <v>2032</v>
      </c>
    </row>
    <row r="3" spans="1:11" x14ac:dyDescent="0.25">
      <c r="A3" s="4" t="s">
        <v>35</v>
      </c>
      <c r="B3">
        <f>INDEX('CMA function inputs'!$B$17:$L$22,MATCH($A$1,'CMA function inputs'!$A$17:$A$22,0),MATCH(A3,'CMA function inputs'!$B$16:$L$16,0))</f>
        <v>1</v>
      </c>
      <c r="C3">
        <f>IF($B3=1,1,IF(INDEX('CMA function inputs'!$B$25:$L$30,MATCH('Mzimvubu-Tsitsikamma CMA'!$A$1,'CMA function inputs'!$A$25:$A$30,0),MATCH('Mzimvubu-Tsitsikamma CMA'!$A3,'CMA function inputs'!$B$24:$L$24,0))&lt;=C$2,1,0))</f>
        <v>1</v>
      </c>
      <c r="D3">
        <f>IF($B3=1,1,IF(INDEX('CMA function inputs'!$B$25:$L$30,MATCH('Mzimvubu-Tsitsikamma CMA'!$A$1,'CMA function inputs'!$A$25:$A$30,0),MATCH('Mzimvubu-Tsitsikamma CMA'!$A3,'CMA function inputs'!$B$24:$L$24,0))&lt;=D$2,1,0))</f>
        <v>1</v>
      </c>
      <c r="E3">
        <f>IF($B3=1,1,IF(INDEX('CMA function inputs'!$B$25:$L$30,MATCH('Mzimvubu-Tsitsikamma CMA'!$A$1,'CMA function inputs'!$A$25:$A$30,0),MATCH('Mzimvubu-Tsitsikamma CMA'!$A3,'CMA function inputs'!$B$24:$L$24,0))&lt;=E$2,1,0))</f>
        <v>1</v>
      </c>
      <c r="F3">
        <f>IF($B3=1,1,IF(INDEX('CMA function inputs'!$B$25:$L$30,MATCH('Mzimvubu-Tsitsikamma CMA'!$A$1,'CMA function inputs'!$A$25:$A$30,0),MATCH('Mzimvubu-Tsitsikamma CMA'!$A3,'CMA function inputs'!$B$24:$L$24,0))&lt;=F$2,1,0))</f>
        <v>1</v>
      </c>
      <c r="G3">
        <f>IF($B3=1,1,IF(INDEX('CMA function inputs'!$B$25:$L$30,MATCH('Mzimvubu-Tsitsikamma CMA'!$A$1,'CMA function inputs'!$A$25:$A$30,0),MATCH('Mzimvubu-Tsitsikamma CMA'!$A3,'CMA function inputs'!$B$24:$L$24,0))&lt;=G$2,1,0))</f>
        <v>1</v>
      </c>
      <c r="H3">
        <f>IF($B3=1,1,IF(INDEX('CMA function inputs'!$B$25:$L$30,MATCH('Mzimvubu-Tsitsikamma CMA'!$A$1,'CMA function inputs'!$A$25:$A$30,0),MATCH('Mzimvubu-Tsitsikamma CMA'!$A3,'CMA function inputs'!$B$24:$L$24,0))&lt;=H$2,1,0))</f>
        <v>1</v>
      </c>
      <c r="I3">
        <f>IF($B3=1,1,IF(INDEX('CMA function inputs'!$B$25:$L$30,MATCH('Mzimvubu-Tsitsikamma CMA'!$A$1,'CMA function inputs'!$A$25:$A$30,0),MATCH('Mzimvubu-Tsitsikamma CMA'!$A3,'CMA function inputs'!$B$24:$L$24,0))&lt;=I$2,1,0))</f>
        <v>1</v>
      </c>
      <c r="J3">
        <f>IF($B3=1,1,IF(INDEX('CMA function inputs'!$B$25:$L$30,MATCH('Mzimvubu-Tsitsikamma CMA'!$A$1,'CMA function inputs'!$A$25:$A$30,0),MATCH('Mzimvubu-Tsitsikamma CMA'!$A3,'CMA function inputs'!$B$24:$L$24,0))&lt;=J$2,1,0))</f>
        <v>1</v>
      </c>
      <c r="K3">
        <f>IF($B3=1,1,IF(INDEX('CMA function inputs'!$B$25:$L$30,MATCH('Mzimvubu-Tsitsikamma CMA'!$A$1,'CMA function inputs'!$A$25:$A$30,0),MATCH('Mzimvubu-Tsitsikamma CMA'!$A3,'CMA function inputs'!$B$24:$L$24,0))&lt;=K$2,1,0))</f>
        <v>1</v>
      </c>
    </row>
    <row r="4" spans="1:11" x14ac:dyDescent="0.25">
      <c r="A4" s="4" t="s">
        <v>36</v>
      </c>
      <c r="B4">
        <f>INDEX('CMA function inputs'!$B$17:$L$22,MATCH($A$1,'CMA function inputs'!$A$17:$A$22,0),MATCH(A4,'CMA function inputs'!$B$16:$L$16,0))</f>
        <v>1</v>
      </c>
      <c r="C4">
        <f>IF($B4=1,1,IF(INDEX('CMA function inputs'!$B$25:$L$30,MATCH('Mzimvubu-Tsitsikamma CMA'!$A$1,'CMA function inputs'!$A$25:$A$30,0),MATCH('Mzimvubu-Tsitsikamma CMA'!$A4,'CMA function inputs'!$B$24:$L$24,0))&lt;=C$2,1,0))</f>
        <v>1</v>
      </c>
      <c r="D4">
        <f>IF($B4=1,1,IF(INDEX('CMA function inputs'!$B$25:$L$30,MATCH('Mzimvubu-Tsitsikamma CMA'!$A$1,'CMA function inputs'!$A$25:$A$30,0),MATCH('Mzimvubu-Tsitsikamma CMA'!$A4,'CMA function inputs'!$B$24:$L$24,0))&lt;=D$2,1,0))</f>
        <v>1</v>
      </c>
      <c r="E4">
        <f>IF($B4=1,1,IF(INDEX('CMA function inputs'!$B$25:$L$30,MATCH('Mzimvubu-Tsitsikamma CMA'!$A$1,'CMA function inputs'!$A$25:$A$30,0),MATCH('Mzimvubu-Tsitsikamma CMA'!$A4,'CMA function inputs'!$B$24:$L$24,0))&lt;=E$2,1,0))</f>
        <v>1</v>
      </c>
      <c r="F4">
        <f>IF($B4=1,1,IF(INDEX('CMA function inputs'!$B$25:$L$30,MATCH('Mzimvubu-Tsitsikamma CMA'!$A$1,'CMA function inputs'!$A$25:$A$30,0),MATCH('Mzimvubu-Tsitsikamma CMA'!$A4,'CMA function inputs'!$B$24:$L$24,0))&lt;=F$2,1,0))</f>
        <v>1</v>
      </c>
      <c r="G4">
        <f>IF($B4=1,1,IF(INDEX('CMA function inputs'!$B$25:$L$30,MATCH('Mzimvubu-Tsitsikamma CMA'!$A$1,'CMA function inputs'!$A$25:$A$30,0),MATCH('Mzimvubu-Tsitsikamma CMA'!$A4,'CMA function inputs'!$B$24:$L$24,0))&lt;=G$2,1,0))</f>
        <v>1</v>
      </c>
      <c r="H4">
        <f>IF($B4=1,1,IF(INDEX('CMA function inputs'!$B$25:$L$30,MATCH('Mzimvubu-Tsitsikamma CMA'!$A$1,'CMA function inputs'!$A$25:$A$30,0),MATCH('Mzimvubu-Tsitsikamma CMA'!$A4,'CMA function inputs'!$B$24:$L$24,0))&lt;=H$2,1,0))</f>
        <v>1</v>
      </c>
      <c r="I4">
        <f>IF($B4=1,1,IF(INDEX('CMA function inputs'!$B$25:$L$30,MATCH('Mzimvubu-Tsitsikamma CMA'!$A$1,'CMA function inputs'!$A$25:$A$30,0),MATCH('Mzimvubu-Tsitsikamma CMA'!$A4,'CMA function inputs'!$B$24:$L$24,0))&lt;=I$2,1,0))</f>
        <v>1</v>
      </c>
      <c r="J4">
        <f>IF($B4=1,1,IF(INDEX('CMA function inputs'!$B$25:$L$30,MATCH('Mzimvubu-Tsitsikamma CMA'!$A$1,'CMA function inputs'!$A$25:$A$30,0),MATCH('Mzimvubu-Tsitsikamma CMA'!$A4,'CMA function inputs'!$B$24:$L$24,0))&lt;=J$2,1,0))</f>
        <v>1</v>
      </c>
      <c r="K4">
        <f>IF($B4=1,1,IF(INDEX('CMA function inputs'!$B$25:$L$30,MATCH('Mzimvubu-Tsitsikamma CMA'!$A$1,'CMA function inputs'!$A$25:$A$30,0),MATCH('Mzimvubu-Tsitsikamma CMA'!$A4,'CMA function inputs'!$B$24:$L$24,0))&lt;=K$2,1,0))</f>
        <v>1</v>
      </c>
    </row>
    <row r="5" spans="1:11" x14ac:dyDescent="0.25">
      <c r="A5" s="4" t="s">
        <v>11</v>
      </c>
      <c r="B5">
        <f>INDEX('CMA function inputs'!$B$17:$L$22,MATCH($A$1,'CMA function inputs'!$A$17:$A$22,0),MATCH(A5,'CMA function inputs'!$B$16:$L$16,0))</f>
        <v>1</v>
      </c>
      <c r="C5">
        <f>IF($B5=1,1,IF(INDEX('CMA function inputs'!$B$25:$L$30,MATCH('Mzimvubu-Tsitsikamma CMA'!$A$1,'CMA function inputs'!$A$25:$A$30,0),MATCH('Mzimvubu-Tsitsikamma CMA'!$A5,'CMA function inputs'!$B$24:$L$24,0))&lt;=C$2,1,0))</f>
        <v>1</v>
      </c>
      <c r="D5">
        <f>IF($B5=1,1,IF(INDEX('CMA function inputs'!$B$25:$L$30,MATCH('Mzimvubu-Tsitsikamma CMA'!$A$1,'CMA function inputs'!$A$25:$A$30,0),MATCH('Mzimvubu-Tsitsikamma CMA'!$A5,'CMA function inputs'!$B$24:$L$24,0))&lt;=D$2,1,0))</f>
        <v>1</v>
      </c>
      <c r="E5">
        <f>IF($B5=1,1,IF(INDEX('CMA function inputs'!$B$25:$L$30,MATCH('Mzimvubu-Tsitsikamma CMA'!$A$1,'CMA function inputs'!$A$25:$A$30,0),MATCH('Mzimvubu-Tsitsikamma CMA'!$A5,'CMA function inputs'!$B$24:$L$24,0))&lt;=E$2,1,0))</f>
        <v>1</v>
      </c>
      <c r="F5">
        <f>IF($B5=1,1,IF(INDEX('CMA function inputs'!$B$25:$L$30,MATCH('Mzimvubu-Tsitsikamma CMA'!$A$1,'CMA function inputs'!$A$25:$A$30,0),MATCH('Mzimvubu-Tsitsikamma CMA'!$A5,'CMA function inputs'!$B$24:$L$24,0))&lt;=F$2,1,0))</f>
        <v>1</v>
      </c>
      <c r="G5">
        <f>IF($B5=1,1,IF(INDEX('CMA function inputs'!$B$25:$L$30,MATCH('Mzimvubu-Tsitsikamma CMA'!$A$1,'CMA function inputs'!$A$25:$A$30,0),MATCH('Mzimvubu-Tsitsikamma CMA'!$A5,'CMA function inputs'!$B$24:$L$24,0))&lt;=G$2,1,0))</f>
        <v>1</v>
      </c>
      <c r="H5">
        <f>IF($B5=1,1,IF(INDEX('CMA function inputs'!$B$25:$L$30,MATCH('Mzimvubu-Tsitsikamma CMA'!$A$1,'CMA function inputs'!$A$25:$A$30,0),MATCH('Mzimvubu-Tsitsikamma CMA'!$A5,'CMA function inputs'!$B$24:$L$24,0))&lt;=H$2,1,0))</f>
        <v>1</v>
      </c>
      <c r="I5">
        <f>IF($B5=1,1,IF(INDEX('CMA function inputs'!$B$25:$L$30,MATCH('Mzimvubu-Tsitsikamma CMA'!$A$1,'CMA function inputs'!$A$25:$A$30,0),MATCH('Mzimvubu-Tsitsikamma CMA'!$A5,'CMA function inputs'!$B$24:$L$24,0))&lt;=I$2,1,0))</f>
        <v>1</v>
      </c>
      <c r="J5">
        <f>IF($B5=1,1,IF(INDEX('CMA function inputs'!$B$25:$L$30,MATCH('Mzimvubu-Tsitsikamma CMA'!$A$1,'CMA function inputs'!$A$25:$A$30,0),MATCH('Mzimvubu-Tsitsikamma CMA'!$A5,'CMA function inputs'!$B$24:$L$24,0))&lt;=J$2,1,0))</f>
        <v>1</v>
      </c>
      <c r="K5">
        <f>IF($B5=1,1,IF(INDEX('CMA function inputs'!$B$25:$L$30,MATCH('Mzimvubu-Tsitsikamma CMA'!$A$1,'CMA function inputs'!$A$25:$A$30,0),MATCH('Mzimvubu-Tsitsikamma CMA'!$A5,'CMA function inputs'!$B$24:$L$24,0))&lt;=K$2,1,0))</f>
        <v>1</v>
      </c>
    </row>
    <row r="6" spans="1:11" x14ac:dyDescent="0.25">
      <c r="A6" s="4" t="s">
        <v>124</v>
      </c>
      <c r="B6">
        <f>INDEX('CMA function inputs'!$B$17:$L$22,MATCH($A$1,'CMA function inputs'!$A$17:$A$22,0),MATCH(A6,'CMA function inputs'!$B$16:$L$16,0))</f>
        <v>1</v>
      </c>
      <c r="C6">
        <f>IF($B6=1,1,IF(INDEX('CMA function inputs'!$B$25:$L$30,MATCH('Mzimvubu-Tsitsikamma CMA'!$A$1,'CMA function inputs'!$A$25:$A$30,0),MATCH('Mzimvubu-Tsitsikamma CMA'!$A6,'CMA function inputs'!$B$24:$L$24,0))&lt;=C$2,1,0))</f>
        <v>1</v>
      </c>
      <c r="D6">
        <f>IF($B6=1,1,IF(INDEX('CMA function inputs'!$B$25:$L$30,MATCH('Mzimvubu-Tsitsikamma CMA'!$A$1,'CMA function inputs'!$A$25:$A$30,0),MATCH('Mzimvubu-Tsitsikamma CMA'!$A6,'CMA function inputs'!$B$24:$L$24,0))&lt;=D$2,1,0))</f>
        <v>1</v>
      </c>
      <c r="E6">
        <f>IF($B6=1,1,IF(INDEX('CMA function inputs'!$B$25:$L$30,MATCH('Mzimvubu-Tsitsikamma CMA'!$A$1,'CMA function inputs'!$A$25:$A$30,0),MATCH('Mzimvubu-Tsitsikamma CMA'!$A6,'CMA function inputs'!$B$24:$L$24,0))&lt;=E$2,1,0))</f>
        <v>1</v>
      </c>
      <c r="F6">
        <f>IF($B6=1,1,IF(INDEX('CMA function inputs'!$B$25:$L$30,MATCH('Mzimvubu-Tsitsikamma CMA'!$A$1,'CMA function inputs'!$A$25:$A$30,0),MATCH('Mzimvubu-Tsitsikamma CMA'!$A6,'CMA function inputs'!$B$24:$L$24,0))&lt;=F$2,1,0))</f>
        <v>1</v>
      </c>
      <c r="G6">
        <f>IF($B6=1,1,IF(INDEX('CMA function inputs'!$B$25:$L$30,MATCH('Mzimvubu-Tsitsikamma CMA'!$A$1,'CMA function inputs'!$A$25:$A$30,0),MATCH('Mzimvubu-Tsitsikamma CMA'!$A6,'CMA function inputs'!$B$24:$L$24,0))&lt;=G$2,1,0))</f>
        <v>1</v>
      </c>
      <c r="H6">
        <f>IF($B6=1,1,IF(INDEX('CMA function inputs'!$B$25:$L$30,MATCH('Mzimvubu-Tsitsikamma CMA'!$A$1,'CMA function inputs'!$A$25:$A$30,0),MATCH('Mzimvubu-Tsitsikamma CMA'!$A6,'CMA function inputs'!$B$24:$L$24,0))&lt;=H$2,1,0))</f>
        <v>1</v>
      </c>
      <c r="I6">
        <f>IF($B6=1,1,IF(INDEX('CMA function inputs'!$B$25:$L$30,MATCH('Mzimvubu-Tsitsikamma CMA'!$A$1,'CMA function inputs'!$A$25:$A$30,0),MATCH('Mzimvubu-Tsitsikamma CMA'!$A6,'CMA function inputs'!$B$24:$L$24,0))&lt;=I$2,1,0))</f>
        <v>1</v>
      </c>
      <c r="J6">
        <f>IF($B6=1,1,IF(INDEX('CMA function inputs'!$B$25:$L$30,MATCH('Mzimvubu-Tsitsikamma CMA'!$A$1,'CMA function inputs'!$A$25:$A$30,0),MATCH('Mzimvubu-Tsitsikamma CMA'!$A6,'CMA function inputs'!$B$24:$L$24,0))&lt;=J$2,1,0))</f>
        <v>1</v>
      </c>
      <c r="K6">
        <f>IF($B6=1,1,IF(INDEX('CMA function inputs'!$B$25:$L$30,MATCH('Mzimvubu-Tsitsikamma CMA'!$A$1,'CMA function inputs'!$A$25:$A$30,0),MATCH('Mzimvubu-Tsitsikamma CMA'!$A6,'CMA function inputs'!$B$24:$L$24,0))&lt;=K$2,1,0))</f>
        <v>1</v>
      </c>
    </row>
    <row r="7" spans="1:11" x14ac:dyDescent="0.25">
      <c r="A7" s="4" t="s">
        <v>12</v>
      </c>
      <c r="B7">
        <f>INDEX('CMA function inputs'!$B$17:$L$22,MATCH($A$1,'CMA function inputs'!$A$17:$A$22,0),MATCH(A7,'CMA function inputs'!$B$16:$L$16,0))</f>
        <v>1</v>
      </c>
      <c r="C7">
        <f>IF($B7=1,1,IF(INDEX('CMA function inputs'!$B$25:$L$30,MATCH('Mzimvubu-Tsitsikamma CMA'!$A$1,'CMA function inputs'!$A$25:$A$30,0),MATCH('Mzimvubu-Tsitsikamma CMA'!$A7,'CMA function inputs'!$B$24:$L$24,0))&lt;=C$2,1,0))</f>
        <v>1</v>
      </c>
      <c r="D7">
        <f>IF($B7=1,1,IF(INDEX('CMA function inputs'!$B$25:$L$30,MATCH('Mzimvubu-Tsitsikamma CMA'!$A$1,'CMA function inputs'!$A$25:$A$30,0),MATCH('Mzimvubu-Tsitsikamma CMA'!$A7,'CMA function inputs'!$B$24:$L$24,0))&lt;=D$2,1,0))</f>
        <v>1</v>
      </c>
      <c r="E7">
        <f>IF($B7=1,1,IF(INDEX('CMA function inputs'!$B$25:$L$30,MATCH('Mzimvubu-Tsitsikamma CMA'!$A$1,'CMA function inputs'!$A$25:$A$30,0),MATCH('Mzimvubu-Tsitsikamma CMA'!$A7,'CMA function inputs'!$B$24:$L$24,0))&lt;=E$2,1,0))</f>
        <v>1</v>
      </c>
      <c r="F7">
        <f>IF($B7=1,1,IF(INDEX('CMA function inputs'!$B$25:$L$30,MATCH('Mzimvubu-Tsitsikamma CMA'!$A$1,'CMA function inputs'!$A$25:$A$30,0),MATCH('Mzimvubu-Tsitsikamma CMA'!$A7,'CMA function inputs'!$B$24:$L$24,0))&lt;=F$2,1,0))</f>
        <v>1</v>
      </c>
      <c r="G7">
        <f>IF($B7=1,1,IF(INDEX('CMA function inputs'!$B$25:$L$30,MATCH('Mzimvubu-Tsitsikamma CMA'!$A$1,'CMA function inputs'!$A$25:$A$30,0),MATCH('Mzimvubu-Tsitsikamma CMA'!$A7,'CMA function inputs'!$B$24:$L$24,0))&lt;=G$2,1,0))</f>
        <v>1</v>
      </c>
      <c r="H7">
        <f>IF($B7=1,1,IF(INDEX('CMA function inputs'!$B$25:$L$30,MATCH('Mzimvubu-Tsitsikamma CMA'!$A$1,'CMA function inputs'!$A$25:$A$30,0),MATCH('Mzimvubu-Tsitsikamma CMA'!$A7,'CMA function inputs'!$B$24:$L$24,0))&lt;=H$2,1,0))</f>
        <v>1</v>
      </c>
      <c r="I7">
        <f>IF($B7=1,1,IF(INDEX('CMA function inputs'!$B$25:$L$30,MATCH('Mzimvubu-Tsitsikamma CMA'!$A$1,'CMA function inputs'!$A$25:$A$30,0),MATCH('Mzimvubu-Tsitsikamma CMA'!$A7,'CMA function inputs'!$B$24:$L$24,0))&lt;=I$2,1,0))</f>
        <v>1</v>
      </c>
      <c r="J7">
        <f>IF($B7=1,1,IF(INDEX('CMA function inputs'!$B$25:$L$30,MATCH('Mzimvubu-Tsitsikamma CMA'!$A$1,'CMA function inputs'!$A$25:$A$30,0),MATCH('Mzimvubu-Tsitsikamma CMA'!$A7,'CMA function inputs'!$B$24:$L$24,0))&lt;=J$2,1,0))</f>
        <v>1</v>
      </c>
      <c r="K7">
        <f>IF($B7=1,1,IF(INDEX('CMA function inputs'!$B$25:$L$30,MATCH('Mzimvubu-Tsitsikamma CMA'!$A$1,'CMA function inputs'!$A$25:$A$30,0),MATCH('Mzimvubu-Tsitsikamma CMA'!$A7,'CMA function inputs'!$B$24:$L$24,0))&lt;=K$2,1,0))</f>
        <v>1</v>
      </c>
    </row>
    <row r="8" spans="1:11" x14ac:dyDescent="0.25">
      <c r="A8" s="4" t="s">
        <v>13</v>
      </c>
      <c r="B8">
        <f>INDEX('CMA function inputs'!$B$17:$L$22,MATCH($A$1,'CMA function inputs'!$A$17:$A$22,0),MATCH(A8,'CMA function inputs'!$B$16:$L$16,0))</f>
        <v>1</v>
      </c>
      <c r="C8">
        <f>IF($B8=1,1,IF(INDEX('CMA function inputs'!$B$25:$L$30,MATCH('Mzimvubu-Tsitsikamma CMA'!$A$1,'CMA function inputs'!$A$25:$A$30,0),MATCH('Mzimvubu-Tsitsikamma CMA'!$A8,'CMA function inputs'!$B$24:$L$24,0))&lt;=C$2,1,0))</f>
        <v>1</v>
      </c>
      <c r="D8">
        <f>IF($B8=1,1,IF(INDEX('CMA function inputs'!$B$25:$L$30,MATCH('Mzimvubu-Tsitsikamma CMA'!$A$1,'CMA function inputs'!$A$25:$A$30,0),MATCH('Mzimvubu-Tsitsikamma CMA'!$A8,'CMA function inputs'!$B$24:$L$24,0))&lt;=D$2,1,0))</f>
        <v>1</v>
      </c>
      <c r="E8">
        <f>IF($B8=1,1,IF(INDEX('CMA function inputs'!$B$25:$L$30,MATCH('Mzimvubu-Tsitsikamma CMA'!$A$1,'CMA function inputs'!$A$25:$A$30,0),MATCH('Mzimvubu-Tsitsikamma CMA'!$A8,'CMA function inputs'!$B$24:$L$24,0))&lt;=E$2,1,0))</f>
        <v>1</v>
      </c>
      <c r="F8">
        <f>IF($B8=1,1,IF(INDEX('CMA function inputs'!$B$25:$L$30,MATCH('Mzimvubu-Tsitsikamma CMA'!$A$1,'CMA function inputs'!$A$25:$A$30,0),MATCH('Mzimvubu-Tsitsikamma CMA'!$A8,'CMA function inputs'!$B$24:$L$24,0))&lt;=F$2,1,0))</f>
        <v>1</v>
      </c>
      <c r="G8">
        <f>IF($B8=1,1,IF(INDEX('CMA function inputs'!$B$25:$L$30,MATCH('Mzimvubu-Tsitsikamma CMA'!$A$1,'CMA function inputs'!$A$25:$A$30,0),MATCH('Mzimvubu-Tsitsikamma CMA'!$A8,'CMA function inputs'!$B$24:$L$24,0))&lt;=G$2,1,0))</f>
        <v>1</v>
      </c>
      <c r="H8">
        <f>IF($B8=1,1,IF(INDEX('CMA function inputs'!$B$25:$L$30,MATCH('Mzimvubu-Tsitsikamma CMA'!$A$1,'CMA function inputs'!$A$25:$A$30,0),MATCH('Mzimvubu-Tsitsikamma CMA'!$A8,'CMA function inputs'!$B$24:$L$24,0))&lt;=H$2,1,0))</f>
        <v>1</v>
      </c>
      <c r="I8">
        <f>IF($B8=1,1,IF(INDEX('CMA function inputs'!$B$25:$L$30,MATCH('Mzimvubu-Tsitsikamma CMA'!$A$1,'CMA function inputs'!$A$25:$A$30,0),MATCH('Mzimvubu-Tsitsikamma CMA'!$A8,'CMA function inputs'!$B$24:$L$24,0))&lt;=I$2,1,0))</f>
        <v>1</v>
      </c>
      <c r="J8">
        <f>IF($B8=1,1,IF(INDEX('CMA function inputs'!$B$25:$L$30,MATCH('Mzimvubu-Tsitsikamma CMA'!$A$1,'CMA function inputs'!$A$25:$A$30,0),MATCH('Mzimvubu-Tsitsikamma CMA'!$A8,'CMA function inputs'!$B$24:$L$24,0))&lt;=J$2,1,0))</f>
        <v>1</v>
      </c>
      <c r="K8">
        <f>IF($B8=1,1,IF(INDEX('CMA function inputs'!$B$25:$L$30,MATCH('Mzimvubu-Tsitsikamma CMA'!$A$1,'CMA function inputs'!$A$25:$A$30,0),MATCH('Mzimvubu-Tsitsikamma CMA'!$A8,'CMA function inputs'!$B$24:$L$24,0))&lt;=K$2,1,0))</f>
        <v>1</v>
      </c>
    </row>
    <row r="9" spans="1:11" x14ac:dyDescent="0.25">
      <c r="A9" s="4" t="s">
        <v>14</v>
      </c>
      <c r="B9">
        <f>INDEX('CMA function inputs'!$B$17:$L$22,MATCH($A$1,'CMA function inputs'!$A$17:$A$22,0),MATCH(A9,'CMA function inputs'!$B$16:$L$16,0))</f>
        <v>1</v>
      </c>
      <c r="C9">
        <f>IF($B9=1,1,IF(INDEX('CMA function inputs'!$B$25:$L$30,MATCH('Mzimvubu-Tsitsikamma CMA'!$A$1,'CMA function inputs'!$A$25:$A$30,0),MATCH('Mzimvubu-Tsitsikamma CMA'!$A9,'CMA function inputs'!$B$24:$L$24,0))&lt;=C$2,1,0))</f>
        <v>1</v>
      </c>
      <c r="D9">
        <f>IF($B9=1,1,IF(INDEX('CMA function inputs'!$B$25:$L$30,MATCH('Mzimvubu-Tsitsikamma CMA'!$A$1,'CMA function inputs'!$A$25:$A$30,0),MATCH('Mzimvubu-Tsitsikamma CMA'!$A9,'CMA function inputs'!$B$24:$L$24,0))&lt;=D$2,1,0))</f>
        <v>1</v>
      </c>
      <c r="E9">
        <f>IF($B9=1,1,IF(INDEX('CMA function inputs'!$B$25:$L$30,MATCH('Mzimvubu-Tsitsikamma CMA'!$A$1,'CMA function inputs'!$A$25:$A$30,0),MATCH('Mzimvubu-Tsitsikamma CMA'!$A9,'CMA function inputs'!$B$24:$L$24,0))&lt;=E$2,1,0))</f>
        <v>1</v>
      </c>
      <c r="F9">
        <f>IF($B9=1,1,IF(INDEX('CMA function inputs'!$B$25:$L$30,MATCH('Mzimvubu-Tsitsikamma CMA'!$A$1,'CMA function inputs'!$A$25:$A$30,0),MATCH('Mzimvubu-Tsitsikamma CMA'!$A9,'CMA function inputs'!$B$24:$L$24,0))&lt;=F$2,1,0))</f>
        <v>1</v>
      </c>
      <c r="G9">
        <f>IF($B9=1,1,IF(INDEX('CMA function inputs'!$B$25:$L$30,MATCH('Mzimvubu-Tsitsikamma CMA'!$A$1,'CMA function inputs'!$A$25:$A$30,0),MATCH('Mzimvubu-Tsitsikamma CMA'!$A9,'CMA function inputs'!$B$24:$L$24,0))&lt;=G$2,1,0))</f>
        <v>1</v>
      </c>
      <c r="H9">
        <f>IF($B9=1,1,IF(INDEX('CMA function inputs'!$B$25:$L$30,MATCH('Mzimvubu-Tsitsikamma CMA'!$A$1,'CMA function inputs'!$A$25:$A$30,0),MATCH('Mzimvubu-Tsitsikamma CMA'!$A9,'CMA function inputs'!$B$24:$L$24,0))&lt;=H$2,1,0))</f>
        <v>1</v>
      </c>
      <c r="I9">
        <f>IF($B9=1,1,IF(INDEX('CMA function inputs'!$B$25:$L$30,MATCH('Mzimvubu-Tsitsikamma CMA'!$A$1,'CMA function inputs'!$A$25:$A$30,0),MATCH('Mzimvubu-Tsitsikamma CMA'!$A9,'CMA function inputs'!$B$24:$L$24,0))&lt;=I$2,1,0))</f>
        <v>1</v>
      </c>
      <c r="J9">
        <f>IF($B9=1,1,IF(INDEX('CMA function inputs'!$B$25:$L$30,MATCH('Mzimvubu-Tsitsikamma CMA'!$A$1,'CMA function inputs'!$A$25:$A$30,0),MATCH('Mzimvubu-Tsitsikamma CMA'!$A9,'CMA function inputs'!$B$24:$L$24,0))&lt;=J$2,1,0))</f>
        <v>1</v>
      </c>
      <c r="K9">
        <f>IF($B9=1,1,IF(INDEX('CMA function inputs'!$B$25:$L$30,MATCH('Mzimvubu-Tsitsikamma CMA'!$A$1,'CMA function inputs'!$A$25:$A$30,0),MATCH('Mzimvubu-Tsitsikamma CMA'!$A9,'CMA function inputs'!$B$24:$L$24,0))&lt;=K$2,1,0))</f>
        <v>1</v>
      </c>
    </row>
    <row r="10" spans="1:11" x14ac:dyDescent="0.25">
      <c r="A10" s="4" t="s">
        <v>125</v>
      </c>
      <c r="B10">
        <f>INDEX('CMA function inputs'!$B$17:$L$22,MATCH($A$1,'CMA function inputs'!$A$17:$A$22,0),MATCH(A10,'CMA function inputs'!$B$16:$L$16,0))</f>
        <v>1</v>
      </c>
      <c r="C10">
        <f>IF($B10=1,1,IF(INDEX('CMA function inputs'!$B$25:$L$30,MATCH('Mzimvubu-Tsitsikamma CMA'!$A$1,'CMA function inputs'!$A$25:$A$30,0),MATCH('Mzimvubu-Tsitsikamma CMA'!$A10,'CMA function inputs'!$B$24:$L$24,0))&lt;=C$2,1,0))</f>
        <v>1</v>
      </c>
      <c r="D10">
        <f>IF($B10=1,1,IF(INDEX('CMA function inputs'!$B$25:$L$30,MATCH('Mzimvubu-Tsitsikamma CMA'!$A$1,'CMA function inputs'!$A$25:$A$30,0),MATCH('Mzimvubu-Tsitsikamma CMA'!$A10,'CMA function inputs'!$B$24:$L$24,0))&lt;=D$2,1,0))</f>
        <v>1</v>
      </c>
      <c r="E10">
        <f>IF($B10=1,1,IF(INDEX('CMA function inputs'!$B$25:$L$30,MATCH('Mzimvubu-Tsitsikamma CMA'!$A$1,'CMA function inputs'!$A$25:$A$30,0),MATCH('Mzimvubu-Tsitsikamma CMA'!$A10,'CMA function inputs'!$B$24:$L$24,0))&lt;=E$2,1,0))</f>
        <v>1</v>
      </c>
      <c r="F10">
        <f>IF($B10=1,1,IF(INDEX('CMA function inputs'!$B$25:$L$30,MATCH('Mzimvubu-Tsitsikamma CMA'!$A$1,'CMA function inputs'!$A$25:$A$30,0),MATCH('Mzimvubu-Tsitsikamma CMA'!$A10,'CMA function inputs'!$B$24:$L$24,0))&lt;=F$2,1,0))</f>
        <v>1</v>
      </c>
      <c r="G10">
        <f>IF($B10=1,1,IF(INDEX('CMA function inputs'!$B$25:$L$30,MATCH('Mzimvubu-Tsitsikamma CMA'!$A$1,'CMA function inputs'!$A$25:$A$30,0),MATCH('Mzimvubu-Tsitsikamma CMA'!$A10,'CMA function inputs'!$B$24:$L$24,0))&lt;=G$2,1,0))</f>
        <v>1</v>
      </c>
      <c r="H10">
        <f>IF($B10=1,1,IF(INDEX('CMA function inputs'!$B$25:$L$30,MATCH('Mzimvubu-Tsitsikamma CMA'!$A$1,'CMA function inputs'!$A$25:$A$30,0),MATCH('Mzimvubu-Tsitsikamma CMA'!$A10,'CMA function inputs'!$B$24:$L$24,0))&lt;=H$2,1,0))</f>
        <v>1</v>
      </c>
      <c r="I10">
        <f>IF($B10=1,1,IF(INDEX('CMA function inputs'!$B$25:$L$30,MATCH('Mzimvubu-Tsitsikamma CMA'!$A$1,'CMA function inputs'!$A$25:$A$30,0),MATCH('Mzimvubu-Tsitsikamma CMA'!$A10,'CMA function inputs'!$B$24:$L$24,0))&lt;=I$2,1,0))</f>
        <v>1</v>
      </c>
      <c r="J10">
        <f>IF($B10=1,1,IF(INDEX('CMA function inputs'!$B$25:$L$30,MATCH('Mzimvubu-Tsitsikamma CMA'!$A$1,'CMA function inputs'!$A$25:$A$30,0),MATCH('Mzimvubu-Tsitsikamma CMA'!$A10,'CMA function inputs'!$B$24:$L$24,0))&lt;=J$2,1,0))</f>
        <v>1</v>
      </c>
      <c r="K10">
        <f>IF($B10=1,1,IF(INDEX('CMA function inputs'!$B$25:$L$30,MATCH('Mzimvubu-Tsitsikamma CMA'!$A$1,'CMA function inputs'!$A$25:$A$30,0),MATCH('Mzimvubu-Tsitsikamma CMA'!$A10,'CMA function inputs'!$B$24:$L$24,0))&lt;=K$2,1,0))</f>
        <v>1</v>
      </c>
    </row>
    <row r="11" spans="1:11" x14ac:dyDescent="0.25">
      <c r="A11" s="4" t="s">
        <v>37</v>
      </c>
      <c r="B11">
        <f>INDEX('CMA function inputs'!$B$17:$L$22,MATCH($A$1,'CMA function inputs'!$A$17:$A$22,0),MATCH(A11,'CMA function inputs'!$B$16:$L$16,0))</f>
        <v>1</v>
      </c>
      <c r="C11">
        <f>IF($B11=1,1,IF(INDEX('CMA function inputs'!$B$25:$L$30,MATCH('Mzimvubu-Tsitsikamma CMA'!$A$1,'CMA function inputs'!$A$25:$A$30,0),MATCH('Mzimvubu-Tsitsikamma CMA'!$A11,'CMA function inputs'!$B$24:$L$24,0))&lt;=C$2,1,0))</f>
        <v>1</v>
      </c>
      <c r="D11">
        <f>IF($B11=1,1,IF(INDEX('CMA function inputs'!$B$25:$L$30,MATCH('Mzimvubu-Tsitsikamma CMA'!$A$1,'CMA function inputs'!$A$25:$A$30,0),MATCH('Mzimvubu-Tsitsikamma CMA'!$A11,'CMA function inputs'!$B$24:$L$24,0))&lt;=D$2,1,0))</f>
        <v>1</v>
      </c>
      <c r="E11">
        <f>IF($B11=1,1,IF(INDEX('CMA function inputs'!$B$25:$L$30,MATCH('Mzimvubu-Tsitsikamma CMA'!$A$1,'CMA function inputs'!$A$25:$A$30,0),MATCH('Mzimvubu-Tsitsikamma CMA'!$A11,'CMA function inputs'!$B$24:$L$24,0))&lt;=E$2,1,0))</f>
        <v>1</v>
      </c>
      <c r="F11">
        <f>IF($B11=1,1,IF(INDEX('CMA function inputs'!$B$25:$L$30,MATCH('Mzimvubu-Tsitsikamma CMA'!$A$1,'CMA function inputs'!$A$25:$A$30,0),MATCH('Mzimvubu-Tsitsikamma CMA'!$A11,'CMA function inputs'!$B$24:$L$24,0))&lt;=F$2,1,0))</f>
        <v>1</v>
      </c>
      <c r="G11">
        <f>IF($B11=1,1,IF(INDEX('CMA function inputs'!$B$25:$L$30,MATCH('Mzimvubu-Tsitsikamma CMA'!$A$1,'CMA function inputs'!$A$25:$A$30,0),MATCH('Mzimvubu-Tsitsikamma CMA'!$A11,'CMA function inputs'!$B$24:$L$24,0))&lt;=G$2,1,0))</f>
        <v>1</v>
      </c>
      <c r="H11">
        <f>IF($B11=1,1,IF(INDEX('CMA function inputs'!$B$25:$L$30,MATCH('Mzimvubu-Tsitsikamma CMA'!$A$1,'CMA function inputs'!$A$25:$A$30,0),MATCH('Mzimvubu-Tsitsikamma CMA'!$A11,'CMA function inputs'!$B$24:$L$24,0))&lt;=H$2,1,0))</f>
        <v>1</v>
      </c>
      <c r="I11">
        <f>IF($B11=1,1,IF(INDEX('CMA function inputs'!$B$25:$L$30,MATCH('Mzimvubu-Tsitsikamma CMA'!$A$1,'CMA function inputs'!$A$25:$A$30,0),MATCH('Mzimvubu-Tsitsikamma CMA'!$A11,'CMA function inputs'!$B$24:$L$24,0))&lt;=I$2,1,0))</f>
        <v>1</v>
      </c>
      <c r="J11">
        <f>IF($B11=1,1,IF(INDEX('CMA function inputs'!$B$25:$L$30,MATCH('Mzimvubu-Tsitsikamma CMA'!$A$1,'CMA function inputs'!$A$25:$A$30,0),MATCH('Mzimvubu-Tsitsikamma CMA'!$A11,'CMA function inputs'!$B$24:$L$24,0))&lt;=J$2,1,0))</f>
        <v>1</v>
      </c>
      <c r="K11">
        <f>IF($B11=1,1,IF(INDEX('CMA function inputs'!$B$25:$L$30,MATCH('Mzimvubu-Tsitsikamma CMA'!$A$1,'CMA function inputs'!$A$25:$A$30,0),MATCH('Mzimvubu-Tsitsikamma CMA'!$A11,'CMA function inputs'!$B$24:$L$24,0))&lt;=K$2,1,0))</f>
        <v>1</v>
      </c>
    </row>
    <row r="12" spans="1:11" x14ac:dyDescent="0.25">
      <c r="A12" s="4" t="s">
        <v>38</v>
      </c>
      <c r="B12">
        <f>INDEX('CMA function inputs'!$B$17:$L$22,MATCH($A$1,'CMA function inputs'!$A$17:$A$22,0),MATCH(A12,'CMA function inputs'!$B$16:$L$16,0))</f>
        <v>1</v>
      </c>
      <c r="C12">
        <f>IF($B12=1,1,IF(INDEX('CMA function inputs'!$B$25:$L$30,MATCH('Mzimvubu-Tsitsikamma CMA'!$A$1,'CMA function inputs'!$A$25:$A$30,0),MATCH('Mzimvubu-Tsitsikamma CMA'!$A12,'CMA function inputs'!$B$24:$L$24,0))&lt;=C$2,1,0))</f>
        <v>1</v>
      </c>
      <c r="D12">
        <f>IF($B12=1,1,IF(INDEX('CMA function inputs'!$B$25:$L$30,MATCH('Mzimvubu-Tsitsikamma CMA'!$A$1,'CMA function inputs'!$A$25:$A$30,0),MATCH('Mzimvubu-Tsitsikamma CMA'!$A12,'CMA function inputs'!$B$24:$L$24,0))&lt;=D$2,1,0))</f>
        <v>1</v>
      </c>
      <c r="E12">
        <f>IF($B12=1,1,IF(INDEX('CMA function inputs'!$B$25:$L$30,MATCH('Mzimvubu-Tsitsikamma CMA'!$A$1,'CMA function inputs'!$A$25:$A$30,0),MATCH('Mzimvubu-Tsitsikamma CMA'!$A12,'CMA function inputs'!$B$24:$L$24,0))&lt;=E$2,1,0))</f>
        <v>1</v>
      </c>
      <c r="F12">
        <f>IF($B12=1,1,IF(INDEX('CMA function inputs'!$B$25:$L$30,MATCH('Mzimvubu-Tsitsikamma CMA'!$A$1,'CMA function inputs'!$A$25:$A$30,0),MATCH('Mzimvubu-Tsitsikamma CMA'!$A12,'CMA function inputs'!$B$24:$L$24,0))&lt;=F$2,1,0))</f>
        <v>1</v>
      </c>
      <c r="G12">
        <f>IF($B12=1,1,IF(INDEX('CMA function inputs'!$B$25:$L$30,MATCH('Mzimvubu-Tsitsikamma CMA'!$A$1,'CMA function inputs'!$A$25:$A$30,0),MATCH('Mzimvubu-Tsitsikamma CMA'!$A12,'CMA function inputs'!$B$24:$L$24,0))&lt;=G$2,1,0))</f>
        <v>1</v>
      </c>
      <c r="H12">
        <f>IF($B12=1,1,IF(INDEX('CMA function inputs'!$B$25:$L$30,MATCH('Mzimvubu-Tsitsikamma CMA'!$A$1,'CMA function inputs'!$A$25:$A$30,0),MATCH('Mzimvubu-Tsitsikamma CMA'!$A12,'CMA function inputs'!$B$24:$L$24,0))&lt;=H$2,1,0))</f>
        <v>1</v>
      </c>
      <c r="I12">
        <f>IF($B12=1,1,IF(INDEX('CMA function inputs'!$B$25:$L$30,MATCH('Mzimvubu-Tsitsikamma CMA'!$A$1,'CMA function inputs'!$A$25:$A$30,0),MATCH('Mzimvubu-Tsitsikamma CMA'!$A12,'CMA function inputs'!$B$24:$L$24,0))&lt;=I$2,1,0))</f>
        <v>1</v>
      </c>
      <c r="J12">
        <f>IF($B12=1,1,IF(INDEX('CMA function inputs'!$B$25:$L$30,MATCH('Mzimvubu-Tsitsikamma CMA'!$A$1,'CMA function inputs'!$A$25:$A$30,0),MATCH('Mzimvubu-Tsitsikamma CMA'!$A12,'CMA function inputs'!$B$24:$L$24,0))&lt;=J$2,1,0))</f>
        <v>1</v>
      </c>
      <c r="K12">
        <f>IF($B12=1,1,IF(INDEX('CMA function inputs'!$B$25:$L$30,MATCH('Mzimvubu-Tsitsikamma CMA'!$A$1,'CMA function inputs'!$A$25:$A$30,0),MATCH('Mzimvubu-Tsitsikamma CMA'!$A12,'CMA function inputs'!$B$24:$L$24,0))&lt;=K$2,1,0))</f>
        <v>1</v>
      </c>
    </row>
    <row r="13" spans="1:11" x14ac:dyDescent="0.25">
      <c r="A13" s="4" t="s">
        <v>15</v>
      </c>
      <c r="B13">
        <f>INDEX('CMA function inputs'!$B$17:$L$22,MATCH($A$1,'CMA function inputs'!$A$17:$A$22,0),MATCH(A13,'CMA function inputs'!$B$16:$L$16,0))</f>
        <v>1</v>
      </c>
      <c r="C13">
        <f>IF($B13=1,1,IF(INDEX('CMA function inputs'!$B$25:$L$30,MATCH('Mzimvubu-Tsitsikamma CMA'!$A$1,'CMA function inputs'!$A$25:$A$30,0),MATCH('Mzimvubu-Tsitsikamma CMA'!$A13,'CMA function inputs'!$B$24:$L$24,0))&lt;=C$2,1,0))</f>
        <v>1</v>
      </c>
      <c r="D13">
        <f>IF($B13=1,1,IF(INDEX('CMA function inputs'!$B$25:$L$30,MATCH('Mzimvubu-Tsitsikamma CMA'!$A$1,'CMA function inputs'!$A$25:$A$30,0),MATCH('Mzimvubu-Tsitsikamma CMA'!$A13,'CMA function inputs'!$B$24:$L$24,0))&lt;=D$2,1,0))</f>
        <v>1</v>
      </c>
      <c r="E13">
        <f>IF($B13=1,1,IF(INDEX('CMA function inputs'!$B$25:$L$30,MATCH('Mzimvubu-Tsitsikamma CMA'!$A$1,'CMA function inputs'!$A$25:$A$30,0),MATCH('Mzimvubu-Tsitsikamma CMA'!$A13,'CMA function inputs'!$B$24:$L$24,0))&lt;=E$2,1,0))</f>
        <v>1</v>
      </c>
      <c r="F13">
        <f>IF($B13=1,1,IF(INDEX('CMA function inputs'!$B$25:$L$30,MATCH('Mzimvubu-Tsitsikamma CMA'!$A$1,'CMA function inputs'!$A$25:$A$30,0),MATCH('Mzimvubu-Tsitsikamma CMA'!$A13,'CMA function inputs'!$B$24:$L$24,0))&lt;=F$2,1,0))</f>
        <v>1</v>
      </c>
      <c r="G13">
        <f>IF($B13=1,1,IF(INDEX('CMA function inputs'!$B$25:$L$30,MATCH('Mzimvubu-Tsitsikamma CMA'!$A$1,'CMA function inputs'!$A$25:$A$30,0),MATCH('Mzimvubu-Tsitsikamma CMA'!$A13,'CMA function inputs'!$B$24:$L$24,0))&lt;=G$2,1,0))</f>
        <v>1</v>
      </c>
      <c r="H13">
        <f>IF($B13=1,1,IF(INDEX('CMA function inputs'!$B$25:$L$30,MATCH('Mzimvubu-Tsitsikamma CMA'!$A$1,'CMA function inputs'!$A$25:$A$30,0),MATCH('Mzimvubu-Tsitsikamma CMA'!$A13,'CMA function inputs'!$B$24:$L$24,0))&lt;=H$2,1,0))</f>
        <v>1</v>
      </c>
      <c r="I13">
        <f>IF($B13=1,1,IF(INDEX('CMA function inputs'!$B$25:$L$30,MATCH('Mzimvubu-Tsitsikamma CMA'!$A$1,'CMA function inputs'!$A$25:$A$30,0),MATCH('Mzimvubu-Tsitsikamma CMA'!$A13,'CMA function inputs'!$B$24:$L$24,0))&lt;=I$2,1,0))</f>
        <v>1</v>
      </c>
      <c r="J13">
        <f>IF($B13=1,1,IF(INDEX('CMA function inputs'!$B$25:$L$30,MATCH('Mzimvubu-Tsitsikamma CMA'!$A$1,'CMA function inputs'!$A$25:$A$30,0),MATCH('Mzimvubu-Tsitsikamma CMA'!$A13,'CMA function inputs'!$B$24:$L$24,0))&lt;=J$2,1,0))</f>
        <v>1</v>
      </c>
      <c r="K13">
        <f>IF($B13=1,1,IF(INDEX('CMA function inputs'!$B$25:$L$30,MATCH('Mzimvubu-Tsitsikamma CMA'!$A$1,'CMA function inputs'!$A$25:$A$30,0),MATCH('Mzimvubu-Tsitsikamma CMA'!$A13,'CMA function inputs'!$B$24:$L$24,0))&lt;=K$2,1,0))</f>
        <v>1</v>
      </c>
    </row>
    <row r="14" spans="1:11" x14ac:dyDescent="0.25">
      <c r="A14" s="4"/>
    </row>
    <row r="15" spans="1:11" x14ac:dyDescent="0.25">
      <c r="A15" s="4"/>
      <c r="B15" t="s">
        <v>55</v>
      </c>
      <c r="C15" t="s">
        <v>20</v>
      </c>
      <c r="D15" t="s">
        <v>21</v>
      </c>
      <c r="E15" t="s">
        <v>51</v>
      </c>
    </row>
    <row r="16" spans="1:11" x14ac:dyDescent="0.25">
      <c r="A16" s="4" t="s">
        <v>35</v>
      </c>
      <c r="B16" s="9">
        <f>'CMA function inputs'!B3</f>
        <v>3.1046720286065279E-3</v>
      </c>
      <c r="C16" t="str">
        <f>'CMA function inputs'!C3</f>
        <v>Registered volume</v>
      </c>
      <c r="D16" s="8">
        <f>INDEX('Data inputs'!$B$4:$D$9,MATCH($A$1,'Data inputs'!$A$4:$A$9,0),MATCH(C16,'Data inputs'!$B$3:$D$3,0))</f>
        <v>1976163129</v>
      </c>
      <c r="E16" s="5">
        <f>B16*D16</f>
        <v>6135338.3905698536</v>
      </c>
    </row>
    <row r="17" spans="1:11" x14ac:dyDescent="0.25">
      <c r="A17" s="4" t="s">
        <v>36</v>
      </c>
      <c r="B17" s="9">
        <f>'CMA function inputs'!B4</f>
        <v>1.7019297206331829E-3</v>
      </c>
      <c r="C17" t="str">
        <f>'CMA function inputs'!C4</f>
        <v>Registered volume</v>
      </c>
      <c r="D17" s="8">
        <f>INDEX('Data inputs'!$B$4:$D$9,MATCH($A$1,'Data inputs'!$A$4:$A$9,0),MATCH(C17,'Data inputs'!$B$3:$D$3,0))</f>
        <v>1976163129</v>
      </c>
      <c r="E17" s="5">
        <f t="shared" ref="E17:E26" si="1">B17*D17</f>
        <v>3363290.7620645668</v>
      </c>
    </row>
    <row r="18" spans="1:11" x14ac:dyDescent="0.25">
      <c r="A18" s="4" t="s">
        <v>11</v>
      </c>
      <c r="B18" s="82">
        <v>0</v>
      </c>
      <c r="C18" s="82">
        <v>0</v>
      </c>
      <c r="D18" s="82">
        <v>0</v>
      </c>
      <c r="E18" s="82">
        <v>0</v>
      </c>
      <c r="F18" s="83" t="s">
        <v>112</v>
      </c>
    </row>
    <row r="19" spans="1:11" x14ac:dyDescent="0.25">
      <c r="A19" s="4" t="s">
        <v>124</v>
      </c>
      <c r="B19" s="9">
        <f>'CMA function inputs'!B6</f>
        <v>15.079185256950241</v>
      </c>
      <c r="C19" t="str">
        <f>'CMA function inputs'!C6</f>
        <v>Area</v>
      </c>
      <c r="D19" s="8">
        <f>INDEX('Data inputs'!$B$4:$D$9,MATCH($A$1,'Data inputs'!$A$4:$A$9,0),MATCH(C19,'Data inputs'!$B$3:$D$3,0))</f>
        <v>163172.70941700001</v>
      </c>
      <c r="E19" s="5">
        <f t="shared" si="1"/>
        <v>2460511.5141774523</v>
      </c>
    </row>
    <row r="20" spans="1:11" x14ac:dyDescent="0.25">
      <c r="A20" s="4" t="s">
        <v>12</v>
      </c>
      <c r="B20" s="9">
        <f>'CMA function inputs'!B7</f>
        <v>9.7869565022375288E-3</v>
      </c>
      <c r="C20" t="str">
        <f>'CMA function inputs'!C7</f>
        <v>Registered volume</v>
      </c>
      <c r="D20" s="8">
        <f>INDEX('Data inputs'!$B$4:$D$9,MATCH($A$1,'Data inputs'!$A$4:$A$9,0),MATCH(C20,'Data inputs'!$B$3:$D$3,0))</f>
        <v>1976163129</v>
      </c>
      <c r="E20" s="5">
        <f t="shared" si="1"/>
        <v>19340622.584848609</v>
      </c>
    </row>
    <row r="21" spans="1:11" x14ac:dyDescent="0.25">
      <c r="A21" s="4" t="s">
        <v>13</v>
      </c>
      <c r="B21" s="82">
        <v>0</v>
      </c>
      <c r="C21" s="82">
        <v>0</v>
      </c>
      <c r="D21" s="82">
        <v>0</v>
      </c>
      <c r="E21" s="82">
        <v>0</v>
      </c>
      <c r="F21" s="83" t="s">
        <v>112</v>
      </c>
    </row>
    <row r="22" spans="1:11" x14ac:dyDescent="0.25">
      <c r="A22" s="4" t="s">
        <v>14</v>
      </c>
      <c r="B22" s="82">
        <v>0</v>
      </c>
      <c r="C22" s="82">
        <v>0</v>
      </c>
      <c r="D22" s="82">
        <v>0</v>
      </c>
      <c r="E22" s="82">
        <v>0</v>
      </c>
      <c r="F22" s="83" t="s">
        <v>112</v>
      </c>
    </row>
    <row r="23" spans="1:11" x14ac:dyDescent="0.25">
      <c r="A23" s="4" t="s">
        <v>125</v>
      </c>
      <c r="B23" s="9">
        <f>'CMA function inputs'!B10</f>
        <v>3.2367164664335804E-4</v>
      </c>
      <c r="C23" t="str">
        <f>'CMA function inputs'!C10</f>
        <v>Registered volume</v>
      </c>
      <c r="D23" s="8">
        <f>INDEX('Data inputs'!$B$4:$D$9,MATCH($A$1,'Data inputs'!$A$4:$A$9,0),MATCH(C23,'Data inputs'!$B$3:$D$3,0))</f>
        <v>1976163129</v>
      </c>
      <c r="E23" s="5">
        <f t="shared" ref="E23" si="2">B23*D23</f>
        <v>639627.97399932076</v>
      </c>
      <c r="F23" s="83"/>
    </row>
    <row r="24" spans="1:11" x14ac:dyDescent="0.25">
      <c r="A24" s="4" t="s">
        <v>37</v>
      </c>
      <c r="B24" s="9">
        <f>'CMA function inputs'!B11</f>
        <v>9.4147590178041175E-3</v>
      </c>
      <c r="C24" t="str">
        <f>'CMA function inputs'!C11</f>
        <v>Registered volume</v>
      </c>
      <c r="D24" s="8">
        <f>INDEX('Data inputs'!$B$4:$D$9,MATCH($A$1,'Data inputs'!$A$4:$A$9,0),MATCH(C24,'Data inputs'!$B$3:$D$3,0))</f>
        <v>1976163129</v>
      </c>
      <c r="E24" s="5">
        <f t="shared" si="1"/>
        <v>18605099.639404751</v>
      </c>
    </row>
    <row r="25" spans="1:11" x14ac:dyDescent="0.25">
      <c r="A25" s="4" t="s">
        <v>38</v>
      </c>
      <c r="B25" s="9">
        <f>'CMA function inputs'!B12</f>
        <v>1.262070332489598E-3</v>
      </c>
      <c r="C25" t="str">
        <f>'CMA function inputs'!C12</f>
        <v>Registered volume</v>
      </c>
      <c r="D25" s="8">
        <f>INDEX('Data inputs'!$B$4:$D$9,MATCH($A$1,'Data inputs'!$A$4:$A$9,0),MATCH(C25,'Data inputs'!$B$3:$D$3,0))</f>
        <v>1976163129</v>
      </c>
      <c r="E25" s="5">
        <f t="shared" si="1"/>
        <v>2494056.8572707144</v>
      </c>
    </row>
    <row r="26" spans="1:11" x14ac:dyDescent="0.25">
      <c r="A26" s="4" t="s">
        <v>15</v>
      </c>
      <c r="B26" s="9">
        <f>'CMA function inputs'!B13</f>
        <v>1.0919241845339479E-2</v>
      </c>
      <c r="C26" t="str">
        <f>'CMA function inputs'!C13</f>
        <v>Registered volume</v>
      </c>
      <c r="D26" s="8">
        <f>INDEX('Data inputs'!$B$4:$D$9,MATCH($A$1,'Data inputs'!$A$4:$A$9,0),MATCH(C26,'Data inputs'!$B$3:$D$3,0))</f>
        <v>1976163129</v>
      </c>
      <c r="E26" s="13">
        <f t="shared" si="1"/>
        <v>21578203.131393798</v>
      </c>
    </row>
    <row r="27" spans="1:11" x14ac:dyDescent="0.25">
      <c r="E27" s="14">
        <f>SUM(E16:E26)</f>
        <v>74616750.853729069</v>
      </c>
    </row>
    <row r="28" spans="1:11" s="3" customFormat="1" x14ac:dyDescent="0.25">
      <c r="A28" s="2"/>
    </row>
    <row r="29" spans="1:11" x14ac:dyDescent="0.25">
      <c r="A29" s="70" t="s">
        <v>22</v>
      </c>
      <c r="B29" s="7">
        <f>'Summary dashboard'!B3</f>
        <v>1</v>
      </c>
      <c r="C29" s="6">
        <f t="shared" ref="C29:J29" si="3">B29+($K$29-$B$29)/9</f>
        <v>1</v>
      </c>
      <c r="D29" s="6">
        <f t="shared" si="3"/>
        <v>1</v>
      </c>
      <c r="E29" s="6">
        <f t="shared" si="3"/>
        <v>1</v>
      </c>
      <c r="F29" s="6">
        <f t="shared" si="3"/>
        <v>1</v>
      </c>
      <c r="G29" s="6">
        <f t="shared" si="3"/>
        <v>1</v>
      </c>
      <c r="H29" s="6">
        <f t="shared" si="3"/>
        <v>1</v>
      </c>
      <c r="I29" s="6">
        <f t="shared" si="3"/>
        <v>1</v>
      </c>
      <c r="J29" s="6">
        <f t="shared" si="3"/>
        <v>1</v>
      </c>
      <c r="K29" s="7">
        <f>'Summary dashboard'!C3</f>
        <v>1</v>
      </c>
    </row>
    <row r="30" spans="1:11" x14ac:dyDescent="0.25">
      <c r="B30" s="12" t="str">
        <f>'Summary dashboard'!C4</f>
        <v>2023</v>
      </c>
      <c r="C30" s="12">
        <f>B30+1</f>
        <v>2024</v>
      </c>
      <c r="D30" s="12">
        <f t="shared" ref="D30:J30" si="4">C30+1</f>
        <v>2025</v>
      </c>
      <c r="E30" s="12">
        <f t="shared" si="4"/>
        <v>2026</v>
      </c>
      <c r="F30" s="12">
        <f t="shared" si="4"/>
        <v>2027</v>
      </c>
      <c r="G30" s="12">
        <f t="shared" si="4"/>
        <v>2028</v>
      </c>
      <c r="H30" s="12">
        <f t="shared" si="4"/>
        <v>2029</v>
      </c>
      <c r="I30" s="12">
        <f t="shared" si="4"/>
        <v>2030</v>
      </c>
      <c r="J30" s="12">
        <f t="shared" si="4"/>
        <v>2031</v>
      </c>
      <c r="K30" s="12">
        <f>J30+1</f>
        <v>2032</v>
      </c>
    </row>
    <row r="31" spans="1:11" x14ac:dyDescent="0.25">
      <c r="A31" s="4" t="s">
        <v>35</v>
      </c>
      <c r="B31" s="16">
        <f>IF(B3=1,B$29,0)</f>
        <v>1</v>
      </c>
      <c r="C31" s="16">
        <f t="shared" ref="C31:K41" si="5">IF(IF(C3&gt;B3,$B$29,B31+($K$29-$B$29)/9)&lt;0,0,IF(C3&gt;B3,$B$29,B31+($K$29-$B$29)/9))</f>
        <v>1</v>
      </c>
      <c r="D31" s="16">
        <f t="shared" si="5"/>
        <v>1</v>
      </c>
      <c r="E31" s="16">
        <f>IF(IF(E3&gt;D3,$B$29,D31+($K$29-$B$29)/9)&lt;0,0,IF(E3&gt;D3,$B$29,D31+($K$29-$B$29)/9))</f>
        <v>1</v>
      </c>
      <c r="F31" s="16">
        <f t="shared" si="5"/>
        <v>1</v>
      </c>
      <c r="G31" s="16">
        <f t="shared" si="5"/>
        <v>1</v>
      </c>
      <c r="H31" s="16">
        <f t="shared" si="5"/>
        <v>1</v>
      </c>
      <c r="I31" s="16">
        <f t="shared" si="5"/>
        <v>1</v>
      </c>
      <c r="J31" s="16">
        <f t="shared" si="5"/>
        <v>1</v>
      </c>
      <c r="K31" s="16">
        <f t="shared" si="5"/>
        <v>1</v>
      </c>
    </row>
    <row r="32" spans="1:11" x14ac:dyDescent="0.25">
      <c r="A32" s="4" t="s">
        <v>36</v>
      </c>
      <c r="B32" s="16">
        <f t="shared" ref="B32:B41" si="6">IF(B4=1,B$29,0)</f>
        <v>1</v>
      </c>
      <c r="C32" s="16">
        <f t="shared" si="5"/>
        <v>1</v>
      </c>
      <c r="D32" s="16">
        <f t="shared" si="5"/>
        <v>1</v>
      </c>
      <c r="E32" s="16">
        <f t="shared" si="5"/>
        <v>1</v>
      </c>
      <c r="F32" s="16">
        <f t="shared" si="5"/>
        <v>1</v>
      </c>
      <c r="G32" s="16">
        <f t="shared" si="5"/>
        <v>1</v>
      </c>
      <c r="H32" s="16">
        <f t="shared" si="5"/>
        <v>1</v>
      </c>
      <c r="I32" s="16">
        <f t="shared" si="5"/>
        <v>1</v>
      </c>
      <c r="J32" s="16">
        <f t="shared" si="5"/>
        <v>1</v>
      </c>
      <c r="K32" s="16">
        <f t="shared" si="5"/>
        <v>1</v>
      </c>
    </row>
    <row r="33" spans="1:14" x14ac:dyDescent="0.25">
      <c r="A33" s="4" t="s">
        <v>11</v>
      </c>
      <c r="B33" s="16">
        <f t="shared" si="6"/>
        <v>1</v>
      </c>
      <c r="C33" s="16">
        <f t="shared" si="5"/>
        <v>1</v>
      </c>
      <c r="D33" s="16">
        <f>IF(IF(D5&gt;C5,$B$29,C33+($K$29-$B$29)/9)&lt;0,0,IF(D5&gt;C5,$B$29,C33+($K$29-$B$29)/9))</f>
        <v>1</v>
      </c>
      <c r="E33" s="16">
        <f t="shared" si="5"/>
        <v>1</v>
      </c>
      <c r="F33" s="16">
        <f t="shared" si="5"/>
        <v>1</v>
      </c>
      <c r="G33" s="16">
        <f t="shared" si="5"/>
        <v>1</v>
      </c>
      <c r="H33" s="16">
        <f t="shared" si="5"/>
        <v>1</v>
      </c>
      <c r="I33" s="16">
        <f t="shared" si="5"/>
        <v>1</v>
      </c>
      <c r="J33" s="16">
        <f t="shared" si="5"/>
        <v>1</v>
      </c>
      <c r="K33" s="16">
        <f t="shared" si="5"/>
        <v>1</v>
      </c>
    </row>
    <row r="34" spans="1:14" x14ac:dyDescent="0.25">
      <c r="A34" s="4" t="s">
        <v>124</v>
      </c>
      <c r="B34" s="16">
        <f t="shared" si="6"/>
        <v>1</v>
      </c>
      <c r="C34" s="16">
        <f t="shared" si="5"/>
        <v>1</v>
      </c>
      <c r="D34" s="16">
        <f t="shared" si="5"/>
        <v>1</v>
      </c>
      <c r="E34" s="16">
        <f t="shared" si="5"/>
        <v>1</v>
      </c>
      <c r="F34" s="16">
        <f t="shared" si="5"/>
        <v>1</v>
      </c>
      <c r="G34" s="16">
        <f t="shared" si="5"/>
        <v>1</v>
      </c>
      <c r="H34" s="16">
        <f t="shared" si="5"/>
        <v>1</v>
      </c>
      <c r="I34" s="16">
        <f t="shared" si="5"/>
        <v>1</v>
      </c>
      <c r="J34" s="16">
        <f t="shared" si="5"/>
        <v>1</v>
      </c>
      <c r="K34" s="16">
        <f t="shared" si="5"/>
        <v>1</v>
      </c>
    </row>
    <row r="35" spans="1:14" x14ac:dyDescent="0.25">
      <c r="A35" s="4" t="s">
        <v>12</v>
      </c>
      <c r="B35" s="16">
        <f t="shared" si="6"/>
        <v>1</v>
      </c>
      <c r="C35" s="16">
        <f t="shared" si="5"/>
        <v>1</v>
      </c>
      <c r="D35" s="16">
        <f t="shared" si="5"/>
        <v>1</v>
      </c>
      <c r="E35" s="16">
        <f t="shared" si="5"/>
        <v>1</v>
      </c>
      <c r="F35" s="16">
        <f t="shared" si="5"/>
        <v>1</v>
      </c>
      <c r="G35" s="16">
        <f t="shared" si="5"/>
        <v>1</v>
      </c>
      <c r="H35" s="16">
        <f t="shared" si="5"/>
        <v>1</v>
      </c>
      <c r="I35" s="16">
        <f t="shared" si="5"/>
        <v>1</v>
      </c>
      <c r="J35" s="16">
        <f t="shared" si="5"/>
        <v>1</v>
      </c>
      <c r="K35" s="16">
        <f t="shared" si="5"/>
        <v>1</v>
      </c>
    </row>
    <row r="36" spans="1:14" x14ac:dyDescent="0.25">
      <c r="A36" s="4" t="s">
        <v>13</v>
      </c>
      <c r="B36" s="16">
        <f t="shared" si="6"/>
        <v>1</v>
      </c>
      <c r="C36" s="16">
        <f t="shared" si="5"/>
        <v>1</v>
      </c>
      <c r="D36" s="16">
        <f t="shared" si="5"/>
        <v>1</v>
      </c>
      <c r="E36" s="16">
        <f t="shared" si="5"/>
        <v>1</v>
      </c>
      <c r="F36" s="16">
        <f t="shared" si="5"/>
        <v>1</v>
      </c>
      <c r="G36" s="16">
        <f t="shared" si="5"/>
        <v>1</v>
      </c>
      <c r="H36" s="16">
        <f t="shared" si="5"/>
        <v>1</v>
      </c>
      <c r="I36" s="16">
        <f t="shared" si="5"/>
        <v>1</v>
      </c>
      <c r="J36" s="16">
        <f t="shared" si="5"/>
        <v>1</v>
      </c>
      <c r="K36" s="16">
        <f t="shared" si="5"/>
        <v>1</v>
      </c>
    </row>
    <row r="37" spans="1:14" x14ac:dyDescent="0.25">
      <c r="A37" s="4" t="s">
        <v>14</v>
      </c>
      <c r="B37" s="16">
        <f t="shared" si="6"/>
        <v>1</v>
      </c>
      <c r="C37" s="16">
        <f t="shared" si="5"/>
        <v>1</v>
      </c>
      <c r="D37" s="16">
        <f t="shared" si="5"/>
        <v>1</v>
      </c>
      <c r="E37" s="16">
        <f t="shared" si="5"/>
        <v>1</v>
      </c>
      <c r="F37" s="16">
        <f t="shared" si="5"/>
        <v>1</v>
      </c>
      <c r="G37" s="16">
        <f t="shared" si="5"/>
        <v>1</v>
      </c>
      <c r="H37" s="16">
        <f t="shared" si="5"/>
        <v>1</v>
      </c>
      <c r="I37" s="16">
        <f t="shared" si="5"/>
        <v>1</v>
      </c>
      <c r="J37" s="16">
        <f t="shared" si="5"/>
        <v>1</v>
      </c>
      <c r="K37" s="16">
        <f t="shared" si="5"/>
        <v>1</v>
      </c>
    </row>
    <row r="38" spans="1:14" x14ac:dyDescent="0.25">
      <c r="A38" s="4" t="s">
        <v>125</v>
      </c>
      <c r="B38" s="16">
        <f t="shared" si="6"/>
        <v>1</v>
      </c>
      <c r="C38" s="16">
        <f t="shared" si="5"/>
        <v>1</v>
      </c>
      <c r="D38" s="16">
        <f t="shared" si="5"/>
        <v>1</v>
      </c>
      <c r="E38" s="16">
        <f t="shared" si="5"/>
        <v>1</v>
      </c>
      <c r="F38" s="16">
        <f t="shared" si="5"/>
        <v>1</v>
      </c>
      <c r="G38" s="16">
        <f t="shared" si="5"/>
        <v>1</v>
      </c>
      <c r="H38" s="16">
        <f t="shared" si="5"/>
        <v>1</v>
      </c>
      <c r="I38" s="16">
        <f t="shared" si="5"/>
        <v>1</v>
      </c>
      <c r="J38" s="16">
        <f t="shared" si="5"/>
        <v>1</v>
      </c>
      <c r="K38" s="16">
        <f t="shared" si="5"/>
        <v>1</v>
      </c>
    </row>
    <row r="39" spans="1:14" x14ac:dyDescent="0.25">
      <c r="A39" s="4" t="s">
        <v>37</v>
      </c>
      <c r="B39" s="16">
        <f t="shared" si="6"/>
        <v>1</v>
      </c>
      <c r="C39" s="16">
        <f t="shared" si="5"/>
        <v>1</v>
      </c>
      <c r="D39" s="16">
        <f t="shared" si="5"/>
        <v>1</v>
      </c>
      <c r="E39" s="16">
        <f t="shared" si="5"/>
        <v>1</v>
      </c>
      <c r="F39" s="16">
        <f t="shared" si="5"/>
        <v>1</v>
      </c>
      <c r="G39" s="16">
        <f t="shared" si="5"/>
        <v>1</v>
      </c>
      <c r="H39" s="16">
        <f t="shared" si="5"/>
        <v>1</v>
      </c>
      <c r="I39" s="16">
        <f t="shared" si="5"/>
        <v>1</v>
      </c>
      <c r="J39" s="16">
        <f t="shared" si="5"/>
        <v>1</v>
      </c>
      <c r="K39" s="16">
        <f t="shared" si="5"/>
        <v>1</v>
      </c>
    </row>
    <row r="40" spans="1:14" x14ac:dyDescent="0.25">
      <c r="A40" s="4" t="s">
        <v>38</v>
      </c>
      <c r="B40" s="16">
        <f t="shared" si="6"/>
        <v>1</v>
      </c>
      <c r="C40" s="16">
        <f t="shared" si="5"/>
        <v>1</v>
      </c>
      <c r="D40" s="16">
        <f t="shared" si="5"/>
        <v>1</v>
      </c>
      <c r="E40" s="16">
        <f t="shared" si="5"/>
        <v>1</v>
      </c>
      <c r="F40" s="16">
        <f t="shared" si="5"/>
        <v>1</v>
      </c>
      <c r="G40" s="16">
        <f t="shared" si="5"/>
        <v>1</v>
      </c>
      <c r="H40" s="16">
        <f t="shared" si="5"/>
        <v>1</v>
      </c>
      <c r="I40" s="16">
        <f t="shared" si="5"/>
        <v>1</v>
      </c>
      <c r="J40" s="16">
        <f t="shared" si="5"/>
        <v>1</v>
      </c>
      <c r="K40" s="16">
        <f t="shared" si="5"/>
        <v>1</v>
      </c>
    </row>
    <row r="41" spans="1:14" x14ac:dyDescent="0.25">
      <c r="A41" s="4" t="s">
        <v>15</v>
      </c>
      <c r="B41" s="16">
        <f t="shared" si="6"/>
        <v>1</v>
      </c>
      <c r="C41" s="16">
        <f t="shared" si="5"/>
        <v>1</v>
      </c>
      <c r="D41" s="16">
        <f t="shared" si="5"/>
        <v>1</v>
      </c>
      <c r="E41" s="16">
        <f t="shared" si="5"/>
        <v>1</v>
      </c>
      <c r="F41" s="16">
        <f t="shared" si="5"/>
        <v>1</v>
      </c>
      <c r="G41" s="16">
        <f t="shared" si="5"/>
        <v>1</v>
      </c>
      <c r="H41" s="16">
        <f t="shared" si="5"/>
        <v>1</v>
      </c>
      <c r="I41" s="16">
        <f t="shared" si="5"/>
        <v>1</v>
      </c>
      <c r="J41" s="16">
        <f t="shared" si="5"/>
        <v>1</v>
      </c>
      <c r="K41" s="16">
        <f t="shared" si="5"/>
        <v>1</v>
      </c>
    </row>
    <row r="42" spans="1:14" x14ac:dyDescent="0.25">
      <c r="C42" s="6"/>
      <c r="D42" s="6"/>
      <c r="E42" s="6"/>
      <c r="F42" s="6"/>
      <c r="G42" s="6"/>
      <c r="H42" s="6"/>
      <c r="I42" s="6"/>
      <c r="J42" s="6"/>
      <c r="K42" s="6"/>
      <c r="N42" s="21" t="s">
        <v>63</v>
      </c>
    </row>
    <row r="43" spans="1:14" x14ac:dyDescent="0.25">
      <c r="A43" s="21" t="s">
        <v>60</v>
      </c>
      <c r="B43" s="12" t="str">
        <f>'Summary dashboard'!C4</f>
        <v>2023</v>
      </c>
      <c r="C43" s="12">
        <f t="shared" ref="C43" si="7">B43+1</f>
        <v>2024</v>
      </c>
      <c r="D43" s="12">
        <f t="shared" ref="D43" si="8">C43+1</f>
        <v>2025</v>
      </c>
      <c r="E43" s="12">
        <f t="shared" ref="E43" si="9">D43+1</f>
        <v>2026</v>
      </c>
      <c r="F43" s="12">
        <f t="shared" ref="F43" si="10">E43+1</f>
        <v>2027</v>
      </c>
      <c r="G43" s="12">
        <f t="shared" ref="G43" si="11">F43+1</f>
        <v>2028</v>
      </c>
      <c r="H43" s="12">
        <f t="shared" ref="H43" si="12">G43+1</f>
        <v>2029</v>
      </c>
      <c r="I43" s="12">
        <f t="shared" ref="I43" si="13">H43+1</f>
        <v>2030</v>
      </c>
      <c r="J43" s="12">
        <f t="shared" ref="J43" si="14">I43+1</f>
        <v>2031</v>
      </c>
      <c r="K43" s="12">
        <f t="shared" ref="K43" si="15">J43+1</f>
        <v>2032</v>
      </c>
      <c r="L43" s="1" t="s">
        <v>28</v>
      </c>
      <c r="N43" s="44" t="str">
        <f>'Summary dashboard'!B16</f>
        <v>2023</v>
      </c>
    </row>
    <row r="44" spans="1:14" x14ac:dyDescent="0.25">
      <c r="A44" s="4" t="s">
        <v>35</v>
      </c>
      <c r="B44" s="32">
        <f>IF($B16*$D16*B31&gt;0,$B16*$D16*B31,INDEX('Data inputs'!$B$29:$G$39,MATCH($A44,'Data inputs'!$A$29:$A$39,0),MATCH($A$1,'Data inputs'!$B$28:$G$28,0)))</f>
        <v>6135338.3905698536</v>
      </c>
      <c r="C44" s="32">
        <f>IF($B16*$D16*C31&gt;0,$B16*$D16*C31,INDEX('Data inputs'!$B$29:$G$39,MATCH($A44,'Data inputs'!$A$29:$A$39,0),MATCH($A$1,'Data inputs'!$B$28:$G$28,0)))</f>
        <v>6135338.3905698536</v>
      </c>
      <c r="D44" s="32">
        <f>IF($B16*$D16*D31&gt;0,$B16*$D16*D31,INDEX('Data inputs'!$B$29:$G$39,MATCH($A44,'Data inputs'!$A$29:$A$39,0),MATCH($A$1,'Data inputs'!$B$28:$G$28,0)))</f>
        <v>6135338.3905698536</v>
      </c>
      <c r="E44" s="32">
        <f>IF($B16*$D16*E31&gt;0,$B16*$D16*E31,INDEX('Data inputs'!$B$29:$G$39,MATCH($A44,'Data inputs'!$A$29:$A$39,0),MATCH($A$1,'Data inputs'!$B$28:$G$28,0)))</f>
        <v>6135338.3905698536</v>
      </c>
      <c r="F44" s="32">
        <f>IF($B16*$D16*F31&gt;0,$B16*$D16*F31,INDEX('Data inputs'!$B$29:$G$39,MATCH($A44,'Data inputs'!$A$29:$A$39,0),MATCH($A$1,'Data inputs'!$B$28:$G$28,0)))</f>
        <v>6135338.3905698536</v>
      </c>
      <c r="G44" s="32">
        <f>IF($B16*$D16*G31&gt;0,$B16*$D16*G31,INDEX('Data inputs'!$B$29:$G$39,MATCH($A44,'Data inputs'!$A$29:$A$39,0),MATCH($A$1,'Data inputs'!$B$28:$G$28,0)))</f>
        <v>6135338.3905698536</v>
      </c>
      <c r="H44" s="32">
        <f>IF($B16*$D16*H31&gt;0,$B16*$D16*H31,INDEX('Data inputs'!$B$29:$G$39,MATCH($A44,'Data inputs'!$A$29:$A$39,0),MATCH($A$1,'Data inputs'!$B$28:$G$28,0)))</f>
        <v>6135338.3905698536</v>
      </c>
      <c r="I44" s="32">
        <f>IF($B16*$D16*I31&gt;0,$B16*$D16*I31,INDEX('Data inputs'!$B$29:$G$39,MATCH($A44,'Data inputs'!$A$29:$A$39,0),MATCH($A$1,'Data inputs'!$B$28:$G$28,0)))</f>
        <v>6135338.3905698536</v>
      </c>
      <c r="J44" s="32">
        <f>IF($B16*$D16*J31&gt;0,$B16*$D16*J31,INDEX('Data inputs'!$B$29:$G$39,MATCH($A44,'Data inputs'!$A$29:$A$39,0),MATCH($A$1,'Data inputs'!$B$28:$G$28,0)))</f>
        <v>6135338.3905698536</v>
      </c>
      <c r="K44" s="32">
        <f>IF($B16*$D16*K31&gt;0,$B16*$D16*K31,INDEX('Data inputs'!$B$29:$G$39,MATCH($A44,'Data inputs'!$A$29:$A$39,0),MATCH($A$1,'Data inputs'!$B$28:$G$28,0)))</f>
        <v>6135338.3905698536</v>
      </c>
      <c r="L44" s="5">
        <f t="shared" ref="L44:L54" si="16">AVERAGE(B44:K44)</f>
        <v>6135338.3905698527</v>
      </c>
      <c r="N44" s="5">
        <f t="shared" ref="N44:N54" si="17">INDEX(B44:K44,1,MATCH($N$43,$B$43:$K$43,0))</f>
        <v>6135338.3905698536</v>
      </c>
    </row>
    <row r="45" spans="1:14" x14ac:dyDescent="0.25">
      <c r="A45" s="4" t="s">
        <v>36</v>
      </c>
      <c r="B45" s="32">
        <f>IF($B17*$D17*B32&gt;0,$B17*$D17*B32,INDEX('Data inputs'!$B$29:$G$39,MATCH($A45,'Data inputs'!$A$29:$A$39,0),MATCH($A$1,'Data inputs'!$B$28:$G$28,0)))</f>
        <v>3363290.7620645668</v>
      </c>
      <c r="C45" s="32">
        <f>IF($B17*$D17*C32&gt;0,$B17*$D17*C32,INDEX('Data inputs'!$B$29:$G$39,MATCH($A45,'Data inputs'!$A$29:$A$39,0),MATCH($A$1,'Data inputs'!$B$28:$G$28,0)))</f>
        <v>3363290.7620645668</v>
      </c>
      <c r="D45" s="32">
        <f>IF($B17*$D17*D32&gt;0,$B17*$D17*D32,INDEX('Data inputs'!$B$29:$G$39,MATCH($A45,'Data inputs'!$A$29:$A$39,0),MATCH($A$1,'Data inputs'!$B$28:$G$28,0)))</f>
        <v>3363290.7620645668</v>
      </c>
      <c r="E45" s="32">
        <f>IF($B17*$D17*E32&gt;0,$B17*$D17*E32,INDEX('Data inputs'!$B$29:$G$39,MATCH($A45,'Data inputs'!$A$29:$A$39,0),MATCH($A$1,'Data inputs'!$B$28:$G$28,0)))</f>
        <v>3363290.7620645668</v>
      </c>
      <c r="F45" s="32">
        <f>IF($B17*$D17*F32&gt;0,$B17*$D17*F32,INDEX('Data inputs'!$B$29:$G$39,MATCH($A45,'Data inputs'!$A$29:$A$39,0),MATCH($A$1,'Data inputs'!$B$28:$G$28,0)))</f>
        <v>3363290.7620645668</v>
      </c>
      <c r="G45" s="32">
        <f>IF($B17*$D17*G32&gt;0,$B17*$D17*G32,INDEX('Data inputs'!$B$29:$G$39,MATCH($A45,'Data inputs'!$A$29:$A$39,0),MATCH($A$1,'Data inputs'!$B$28:$G$28,0)))</f>
        <v>3363290.7620645668</v>
      </c>
      <c r="H45" s="32">
        <f>IF($B17*$D17*H32&gt;0,$B17*$D17*H32,INDEX('Data inputs'!$B$29:$G$39,MATCH($A45,'Data inputs'!$A$29:$A$39,0),MATCH($A$1,'Data inputs'!$B$28:$G$28,0)))</f>
        <v>3363290.7620645668</v>
      </c>
      <c r="I45" s="32">
        <f>IF($B17*$D17*I32&gt;0,$B17*$D17*I32,INDEX('Data inputs'!$B$29:$G$39,MATCH($A45,'Data inputs'!$A$29:$A$39,0),MATCH($A$1,'Data inputs'!$B$28:$G$28,0)))</f>
        <v>3363290.7620645668</v>
      </c>
      <c r="J45" s="32">
        <f>IF($B17*$D17*J32&gt;0,$B17*$D17*J32,INDEX('Data inputs'!$B$29:$G$39,MATCH($A45,'Data inputs'!$A$29:$A$39,0),MATCH($A$1,'Data inputs'!$B$28:$G$28,0)))</f>
        <v>3363290.7620645668</v>
      </c>
      <c r="K45" s="32">
        <f>IF($B17*$D17*K32&gt;0,$B17*$D17*K32,INDEX('Data inputs'!$B$29:$G$39,MATCH($A45,'Data inputs'!$A$29:$A$39,0),MATCH($A$1,'Data inputs'!$B$28:$G$28,0)))</f>
        <v>3363290.7620645668</v>
      </c>
      <c r="L45" s="5">
        <f t="shared" si="16"/>
        <v>3363290.7620645678</v>
      </c>
      <c r="N45" s="5">
        <f t="shared" si="17"/>
        <v>3363290.7620645668</v>
      </c>
    </row>
    <row r="46" spans="1:14" x14ac:dyDescent="0.25">
      <c r="A46" s="4" t="s">
        <v>11</v>
      </c>
      <c r="B46" s="32">
        <f>IF($B18*$D18*B33&gt;0,$B18*$D18*B33,INDEX('Data inputs'!$B$29:$G$39,MATCH($A46,'Data inputs'!$A$29:$A$39,0),MATCH($A$1,'Data inputs'!$B$28:$G$28,0)))</f>
        <v>0</v>
      </c>
      <c r="C46" s="32">
        <f>IF($B18*$D18*C33&gt;0,$B18*$D18*C33,INDEX('Data inputs'!$B$29:$G$39,MATCH($A46,'Data inputs'!$A$29:$A$39,0),MATCH($A$1,'Data inputs'!$B$28:$G$28,0)))</f>
        <v>0</v>
      </c>
      <c r="D46" s="32">
        <f>IF($B18*$D18*D33&gt;0,$B18*$D18*D33,INDEX('Data inputs'!$B$29:$G$39,MATCH($A46,'Data inputs'!$A$29:$A$39,0),MATCH($A$1,'Data inputs'!$B$28:$G$28,0)))</f>
        <v>0</v>
      </c>
      <c r="E46" s="32">
        <f>IF($B18*$D18*E33&gt;0,$B18*$D18*E33,INDEX('Data inputs'!$B$29:$G$39,MATCH($A46,'Data inputs'!$A$29:$A$39,0),MATCH($A$1,'Data inputs'!$B$28:$G$28,0)))</f>
        <v>0</v>
      </c>
      <c r="F46" s="32">
        <f>IF($B18*$D18*F33&gt;0,$B18*$D18*F33,INDEX('Data inputs'!$B$29:$G$39,MATCH($A46,'Data inputs'!$A$29:$A$39,0),MATCH($A$1,'Data inputs'!$B$28:$G$28,0)))</f>
        <v>0</v>
      </c>
      <c r="G46" s="32">
        <f>IF($B18*$D18*G33&gt;0,$B18*$D18*G33,INDEX('Data inputs'!$B$29:$G$39,MATCH($A46,'Data inputs'!$A$29:$A$39,0),MATCH($A$1,'Data inputs'!$B$28:$G$28,0)))</f>
        <v>0</v>
      </c>
      <c r="H46" s="32">
        <f>IF($B18*$D18*H33&gt;0,$B18*$D18*H33,INDEX('Data inputs'!$B$29:$G$39,MATCH($A46,'Data inputs'!$A$29:$A$39,0),MATCH($A$1,'Data inputs'!$B$28:$G$28,0)))</f>
        <v>0</v>
      </c>
      <c r="I46" s="32">
        <f>IF($B18*$D18*I33&gt;0,$B18*$D18*I33,INDEX('Data inputs'!$B$29:$G$39,MATCH($A46,'Data inputs'!$A$29:$A$39,0),MATCH($A$1,'Data inputs'!$B$28:$G$28,0)))</f>
        <v>0</v>
      </c>
      <c r="J46" s="32">
        <f>IF($B18*$D18*J33&gt;0,$B18*$D18*J33,INDEX('Data inputs'!$B$29:$G$39,MATCH($A46,'Data inputs'!$A$29:$A$39,0),MATCH($A$1,'Data inputs'!$B$28:$G$28,0)))</f>
        <v>0</v>
      </c>
      <c r="K46" s="32">
        <f>IF($B18*$D18*K33&gt;0,$B18*$D18*K33,INDEX('Data inputs'!$B$29:$G$39,MATCH($A46,'Data inputs'!$A$29:$A$39,0),MATCH($A$1,'Data inputs'!$B$28:$G$28,0)))</f>
        <v>0</v>
      </c>
      <c r="L46" s="5">
        <f t="shared" si="16"/>
        <v>0</v>
      </c>
      <c r="N46" s="5">
        <f t="shared" si="17"/>
        <v>0</v>
      </c>
    </row>
    <row r="47" spans="1:14" x14ac:dyDescent="0.25">
      <c r="A47" s="4" t="s">
        <v>124</v>
      </c>
      <c r="B47" s="32">
        <f>IF($B19*$D19*B34&gt;0,$B19*$D19*B34,INDEX('Data inputs'!$B$29:$G$39,MATCH($A47,'Data inputs'!$A$29:$A$39,0),MATCH($A$1,'Data inputs'!$B$28:$G$28,0)))</f>
        <v>2460511.5141774523</v>
      </c>
      <c r="C47" s="32">
        <f>IF($B19*$D19*C34&gt;0,$B19*$D19*C34,INDEX('Data inputs'!$B$29:$G$39,MATCH($A47,'Data inputs'!$A$29:$A$39,0),MATCH($A$1,'Data inputs'!$B$28:$G$28,0)))</f>
        <v>2460511.5141774523</v>
      </c>
      <c r="D47" s="32">
        <f>IF($B19*$D19*D34&gt;0,$B19*$D19*D34,INDEX('Data inputs'!$B$29:$G$39,MATCH($A47,'Data inputs'!$A$29:$A$39,0),MATCH($A$1,'Data inputs'!$B$28:$G$28,0)))</f>
        <v>2460511.5141774523</v>
      </c>
      <c r="E47" s="32">
        <f>IF($B19*$D19*E34&gt;0,$B19*$D19*E34,INDEX('Data inputs'!$B$29:$G$39,MATCH($A47,'Data inputs'!$A$29:$A$39,0),MATCH($A$1,'Data inputs'!$B$28:$G$28,0)))</f>
        <v>2460511.5141774523</v>
      </c>
      <c r="F47" s="32">
        <f>IF($B19*$D19*F34&gt;0,$B19*$D19*F34,INDEX('Data inputs'!$B$29:$G$39,MATCH($A47,'Data inputs'!$A$29:$A$39,0),MATCH($A$1,'Data inputs'!$B$28:$G$28,0)))</f>
        <v>2460511.5141774523</v>
      </c>
      <c r="G47" s="32">
        <f>IF($B19*$D19*G34&gt;0,$B19*$D19*G34,INDEX('Data inputs'!$B$29:$G$39,MATCH($A47,'Data inputs'!$A$29:$A$39,0),MATCH($A$1,'Data inputs'!$B$28:$G$28,0)))</f>
        <v>2460511.5141774523</v>
      </c>
      <c r="H47" s="32">
        <f>IF($B19*$D19*H34&gt;0,$B19*$D19*H34,INDEX('Data inputs'!$B$29:$G$39,MATCH($A47,'Data inputs'!$A$29:$A$39,0),MATCH($A$1,'Data inputs'!$B$28:$G$28,0)))</f>
        <v>2460511.5141774523</v>
      </c>
      <c r="I47" s="32">
        <f>IF($B19*$D19*I34&gt;0,$B19*$D19*I34,INDEX('Data inputs'!$B$29:$G$39,MATCH($A47,'Data inputs'!$A$29:$A$39,0),MATCH($A$1,'Data inputs'!$B$28:$G$28,0)))</f>
        <v>2460511.5141774523</v>
      </c>
      <c r="J47" s="32">
        <f>IF($B19*$D19*J34&gt;0,$B19*$D19*J34,INDEX('Data inputs'!$B$29:$G$39,MATCH($A47,'Data inputs'!$A$29:$A$39,0),MATCH($A$1,'Data inputs'!$B$28:$G$28,0)))</f>
        <v>2460511.5141774523</v>
      </c>
      <c r="K47" s="32">
        <f>IF($B19*$D19*K34&gt;0,$B19*$D19*K34,INDEX('Data inputs'!$B$29:$G$39,MATCH($A47,'Data inputs'!$A$29:$A$39,0),MATCH($A$1,'Data inputs'!$B$28:$G$28,0)))</f>
        <v>2460511.5141774523</v>
      </c>
      <c r="L47" s="5">
        <f t="shared" si="16"/>
        <v>2460511.5141774523</v>
      </c>
      <c r="N47" s="5">
        <f t="shared" si="17"/>
        <v>2460511.5141774523</v>
      </c>
    </row>
    <row r="48" spans="1:14" x14ac:dyDescent="0.25">
      <c r="A48" s="4" t="s">
        <v>12</v>
      </c>
      <c r="B48" s="32">
        <f>IF($B20*$D20*B35&gt;0,$B20*$D20*B35,INDEX('Data inputs'!$B$29:$G$39,MATCH($A48,'Data inputs'!$A$29:$A$39,0),MATCH($A$1,'Data inputs'!$B$28:$G$28,0)))</f>
        <v>19340622.584848609</v>
      </c>
      <c r="C48" s="32">
        <f>IF($B20*$D20*C35&gt;0,$B20*$D20*C35,INDEX('Data inputs'!$B$29:$G$39,MATCH($A48,'Data inputs'!$A$29:$A$39,0),MATCH($A$1,'Data inputs'!$B$28:$G$28,0)))</f>
        <v>19340622.584848609</v>
      </c>
      <c r="D48" s="32">
        <f>IF($B20*$D20*D35&gt;0,$B20*$D20*D35,INDEX('Data inputs'!$B$29:$G$39,MATCH($A48,'Data inputs'!$A$29:$A$39,0),MATCH($A$1,'Data inputs'!$B$28:$G$28,0)))</f>
        <v>19340622.584848609</v>
      </c>
      <c r="E48" s="32">
        <f>IF($B20*$D20*E35&gt;0,$B20*$D20*E35,INDEX('Data inputs'!$B$29:$G$39,MATCH($A48,'Data inputs'!$A$29:$A$39,0),MATCH($A$1,'Data inputs'!$B$28:$G$28,0)))</f>
        <v>19340622.584848609</v>
      </c>
      <c r="F48" s="32">
        <f>IF($B20*$D20*F35&gt;0,$B20*$D20*F35,INDEX('Data inputs'!$B$29:$G$39,MATCH($A48,'Data inputs'!$A$29:$A$39,0),MATCH($A$1,'Data inputs'!$B$28:$G$28,0)))</f>
        <v>19340622.584848609</v>
      </c>
      <c r="G48" s="32">
        <f>IF($B20*$D20*G35&gt;0,$B20*$D20*G35,INDEX('Data inputs'!$B$29:$G$39,MATCH($A48,'Data inputs'!$A$29:$A$39,0),MATCH($A$1,'Data inputs'!$B$28:$G$28,0)))</f>
        <v>19340622.584848609</v>
      </c>
      <c r="H48" s="32">
        <f>IF($B20*$D20*H35&gt;0,$B20*$D20*H35,INDEX('Data inputs'!$B$29:$G$39,MATCH($A48,'Data inputs'!$A$29:$A$39,0),MATCH($A$1,'Data inputs'!$B$28:$G$28,0)))</f>
        <v>19340622.584848609</v>
      </c>
      <c r="I48" s="32">
        <f>IF($B20*$D20*I35&gt;0,$B20*$D20*I35,INDEX('Data inputs'!$B$29:$G$39,MATCH($A48,'Data inputs'!$A$29:$A$39,0),MATCH($A$1,'Data inputs'!$B$28:$G$28,0)))</f>
        <v>19340622.584848609</v>
      </c>
      <c r="J48" s="32">
        <f>IF($B20*$D20*J35&gt;0,$B20*$D20*J35,INDEX('Data inputs'!$B$29:$G$39,MATCH($A48,'Data inputs'!$A$29:$A$39,0),MATCH($A$1,'Data inputs'!$B$28:$G$28,0)))</f>
        <v>19340622.584848609</v>
      </c>
      <c r="K48" s="32">
        <f>IF($B20*$D20*K35&gt;0,$B20*$D20*K35,INDEX('Data inputs'!$B$29:$G$39,MATCH($A48,'Data inputs'!$A$29:$A$39,0),MATCH($A$1,'Data inputs'!$B$28:$G$28,0)))</f>
        <v>19340622.584848609</v>
      </c>
      <c r="L48" s="5">
        <f t="shared" si="16"/>
        <v>19340622.584848609</v>
      </c>
      <c r="N48" s="5">
        <f t="shared" si="17"/>
        <v>19340622.584848609</v>
      </c>
    </row>
    <row r="49" spans="1:14" x14ac:dyDescent="0.25">
      <c r="A49" s="4" t="s">
        <v>13</v>
      </c>
      <c r="B49" s="32">
        <f>IF($B21*$D21*B36&gt;0,$B21*$D21*B36,INDEX('Data inputs'!$B$29:$G$39,MATCH($A49,'Data inputs'!$A$29:$A$39,0),MATCH($A$1,'Data inputs'!$B$28:$G$28,0)))</f>
        <v>0</v>
      </c>
      <c r="C49" s="32">
        <f>IF($B21*$D21*C36&gt;0,$B21*$D21*C36,INDEX('Data inputs'!$B$29:$G$39,MATCH($A49,'Data inputs'!$A$29:$A$39,0),MATCH($A$1,'Data inputs'!$B$28:$G$28,0)))</f>
        <v>0</v>
      </c>
      <c r="D49" s="32">
        <f>IF($B21*$D21*D36&gt;0,$B21*$D21*D36,INDEX('Data inputs'!$B$29:$G$39,MATCH($A49,'Data inputs'!$A$29:$A$39,0),MATCH($A$1,'Data inputs'!$B$28:$G$28,0)))</f>
        <v>0</v>
      </c>
      <c r="E49" s="32">
        <f>IF($B21*$D21*E36&gt;0,$B21*$D21*E36,INDEX('Data inputs'!$B$29:$G$39,MATCH($A49,'Data inputs'!$A$29:$A$39,0),MATCH($A$1,'Data inputs'!$B$28:$G$28,0)))</f>
        <v>0</v>
      </c>
      <c r="F49" s="32">
        <f>IF($B21*$D21*F36&gt;0,$B21*$D21*F36,INDEX('Data inputs'!$B$29:$G$39,MATCH($A49,'Data inputs'!$A$29:$A$39,0),MATCH($A$1,'Data inputs'!$B$28:$G$28,0)))</f>
        <v>0</v>
      </c>
      <c r="G49" s="32">
        <f>IF($B21*$D21*G36&gt;0,$B21*$D21*G36,INDEX('Data inputs'!$B$29:$G$39,MATCH($A49,'Data inputs'!$A$29:$A$39,0),MATCH($A$1,'Data inputs'!$B$28:$G$28,0)))</f>
        <v>0</v>
      </c>
      <c r="H49" s="32">
        <f>IF($B21*$D21*H36&gt;0,$B21*$D21*H36,INDEX('Data inputs'!$B$29:$G$39,MATCH($A49,'Data inputs'!$A$29:$A$39,0),MATCH($A$1,'Data inputs'!$B$28:$G$28,0)))</f>
        <v>0</v>
      </c>
      <c r="I49" s="32">
        <f>IF($B21*$D21*I36&gt;0,$B21*$D21*I36,INDEX('Data inputs'!$B$29:$G$39,MATCH($A49,'Data inputs'!$A$29:$A$39,0),MATCH($A$1,'Data inputs'!$B$28:$G$28,0)))</f>
        <v>0</v>
      </c>
      <c r="J49" s="32">
        <f>IF($B21*$D21*J36&gt;0,$B21*$D21*J36,INDEX('Data inputs'!$B$29:$G$39,MATCH($A49,'Data inputs'!$A$29:$A$39,0),MATCH($A$1,'Data inputs'!$B$28:$G$28,0)))</f>
        <v>0</v>
      </c>
      <c r="K49" s="32">
        <f>IF($B21*$D21*K36&gt;0,$B21*$D21*K36,INDEX('Data inputs'!$B$29:$G$39,MATCH($A49,'Data inputs'!$A$29:$A$39,0),MATCH($A$1,'Data inputs'!$B$28:$G$28,0)))</f>
        <v>0</v>
      </c>
      <c r="L49" s="5">
        <f t="shared" si="16"/>
        <v>0</v>
      </c>
      <c r="N49" s="5">
        <f t="shared" si="17"/>
        <v>0</v>
      </c>
    </row>
    <row r="50" spans="1:14" x14ac:dyDescent="0.25">
      <c r="A50" s="4" t="s">
        <v>14</v>
      </c>
      <c r="B50" s="32">
        <f>IF($B22*$D22*B37&gt;0,$B22*$D22*B37,INDEX('Data inputs'!$B$29:$G$39,MATCH($A50,'Data inputs'!$A$29:$A$39,0),MATCH($A$1,'Data inputs'!$B$28:$G$28,0)))</f>
        <v>0</v>
      </c>
      <c r="C50" s="32">
        <f>IF($B22*$D22*C37&gt;0,$B22*$D22*C37,INDEX('Data inputs'!$B$29:$G$39,MATCH($A50,'Data inputs'!$A$29:$A$39,0),MATCH($A$1,'Data inputs'!$B$28:$G$28,0)))</f>
        <v>0</v>
      </c>
      <c r="D50" s="32">
        <f>IF($B22*$D22*D37&gt;0,$B22*$D22*D37,INDEX('Data inputs'!$B$29:$G$39,MATCH($A50,'Data inputs'!$A$29:$A$39,0),MATCH($A$1,'Data inputs'!$B$28:$G$28,0)))</f>
        <v>0</v>
      </c>
      <c r="E50" s="32">
        <f>IF($B22*$D22*E37&gt;0,$B22*$D22*E37,INDEX('Data inputs'!$B$29:$G$39,MATCH($A50,'Data inputs'!$A$29:$A$39,0),MATCH($A$1,'Data inputs'!$B$28:$G$28,0)))</f>
        <v>0</v>
      </c>
      <c r="F50" s="32">
        <f>IF($B22*$D22*F37&gt;0,$B22*$D22*F37,INDEX('Data inputs'!$B$29:$G$39,MATCH($A50,'Data inputs'!$A$29:$A$39,0),MATCH($A$1,'Data inputs'!$B$28:$G$28,0)))</f>
        <v>0</v>
      </c>
      <c r="G50" s="32">
        <f>IF($B22*$D22*G37&gt;0,$B22*$D22*G37,INDEX('Data inputs'!$B$29:$G$39,MATCH($A50,'Data inputs'!$A$29:$A$39,0),MATCH($A$1,'Data inputs'!$B$28:$G$28,0)))</f>
        <v>0</v>
      </c>
      <c r="H50" s="32">
        <f>IF($B22*$D22*H37&gt;0,$B22*$D22*H37,INDEX('Data inputs'!$B$29:$G$39,MATCH($A50,'Data inputs'!$A$29:$A$39,0),MATCH($A$1,'Data inputs'!$B$28:$G$28,0)))</f>
        <v>0</v>
      </c>
      <c r="I50" s="32">
        <f>IF($B22*$D22*I37&gt;0,$B22*$D22*I37,INDEX('Data inputs'!$B$29:$G$39,MATCH($A50,'Data inputs'!$A$29:$A$39,0),MATCH($A$1,'Data inputs'!$B$28:$G$28,0)))</f>
        <v>0</v>
      </c>
      <c r="J50" s="32">
        <f>IF($B22*$D22*J37&gt;0,$B22*$D22*J37,INDEX('Data inputs'!$B$29:$G$39,MATCH($A50,'Data inputs'!$A$29:$A$39,0),MATCH($A$1,'Data inputs'!$B$28:$G$28,0)))</f>
        <v>0</v>
      </c>
      <c r="K50" s="32">
        <f>IF($B22*$D22*K37&gt;0,$B22*$D22*K37,INDEX('Data inputs'!$B$29:$G$39,MATCH($A50,'Data inputs'!$A$29:$A$39,0),MATCH($A$1,'Data inputs'!$B$28:$G$28,0)))</f>
        <v>0</v>
      </c>
      <c r="L50" s="5">
        <f t="shared" si="16"/>
        <v>0</v>
      </c>
      <c r="N50" s="5">
        <f t="shared" si="17"/>
        <v>0</v>
      </c>
    </row>
    <row r="51" spans="1:14" x14ac:dyDescent="0.25">
      <c r="A51" s="4" t="s">
        <v>125</v>
      </c>
      <c r="B51" s="32">
        <f>IF($B23*$D23*B38&gt;0,$B23*$D23*B38,INDEX('Data inputs'!$B$29:$G$39,MATCH($A51,'Data inputs'!$A$29:$A$39,0),MATCH($A$1,'Data inputs'!$B$28:$G$28,0)))</f>
        <v>639627.97399932076</v>
      </c>
      <c r="C51" s="32">
        <f>IF($B23*$D23*C38&gt;0,$B23*$D23*C38,INDEX('Data inputs'!$B$29:$G$39,MATCH($A51,'Data inputs'!$A$29:$A$39,0),MATCH($A$1,'Data inputs'!$B$28:$G$28,0)))</f>
        <v>639627.97399932076</v>
      </c>
      <c r="D51" s="32">
        <f>IF($B23*$D23*D38&gt;0,$B23*$D23*D38,INDEX('Data inputs'!$B$29:$G$39,MATCH($A51,'Data inputs'!$A$29:$A$39,0),MATCH($A$1,'Data inputs'!$B$28:$G$28,0)))</f>
        <v>639627.97399932076</v>
      </c>
      <c r="E51" s="32">
        <f>IF($B23*$D23*E38&gt;0,$B23*$D23*E38,INDEX('Data inputs'!$B$29:$G$39,MATCH($A51,'Data inputs'!$A$29:$A$39,0),MATCH($A$1,'Data inputs'!$B$28:$G$28,0)))</f>
        <v>639627.97399932076</v>
      </c>
      <c r="F51" s="32">
        <f>IF($B23*$D23*F38&gt;0,$B23*$D23*F38,INDEX('Data inputs'!$B$29:$G$39,MATCH($A51,'Data inputs'!$A$29:$A$39,0),MATCH($A$1,'Data inputs'!$B$28:$G$28,0)))</f>
        <v>639627.97399932076</v>
      </c>
      <c r="G51" s="32">
        <f>IF($B23*$D23*G38&gt;0,$B23*$D23*G38,INDEX('Data inputs'!$B$29:$G$39,MATCH($A51,'Data inputs'!$A$29:$A$39,0),MATCH($A$1,'Data inputs'!$B$28:$G$28,0)))</f>
        <v>639627.97399932076</v>
      </c>
      <c r="H51" s="32">
        <f>IF($B23*$D23*H38&gt;0,$B23*$D23*H38,INDEX('Data inputs'!$B$29:$G$39,MATCH($A51,'Data inputs'!$A$29:$A$39,0),MATCH($A$1,'Data inputs'!$B$28:$G$28,0)))</f>
        <v>639627.97399932076</v>
      </c>
      <c r="I51" s="32">
        <f>IF($B23*$D23*I38&gt;0,$B23*$D23*I38,INDEX('Data inputs'!$B$29:$G$39,MATCH($A51,'Data inputs'!$A$29:$A$39,0),MATCH($A$1,'Data inputs'!$B$28:$G$28,0)))</f>
        <v>639627.97399932076</v>
      </c>
      <c r="J51" s="32">
        <f>IF($B23*$D23*J38&gt;0,$B23*$D23*J38,INDEX('Data inputs'!$B$29:$G$39,MATCH($A51,'Data inputs'!$A$29:$A$39,0),MATCH($A$1,'Data inputs'!$B$28:$G$28,0)))</f>
        <v>639627.97399932076</v>
      </c>
      <c r="K51" s="32">
        <f>IF($B23*$D23*K38&gt;0,$B23*$D23*K38,INDEX('Data inputs'!$B$29:$G$39,MATCH($A51,'Data inputs'!$A$29:$A$39,0),MATCH($A$1,'Data inputs'!$B$28:$G$28,0)))</f>
        <v>639627.97399932076</v>
      </c>
      <c r="L51" s="5">
        <f t="shared" si="16"/>
        <v>639627.97399932065</v>
      </c>
      <c r="N51" s="5">
        <f t="shared" si="17"/>
        <v>639627.97399932076</v>
      </c>
    </row>
    <row r="52" spans="1:14" x14ac:dyDescent="0.25">
      <c r="A52" s="4" t="s">
        <v>37</v>
      </c>
      <c r="B52" s="32">
        <f>IF($B24*$D24*B39&gt;0,$B24*$D24*B39,INDEX('Data inputs'!$B$29:$G$39,MATCH($A52,'Data inputs'!$A$29:$A$39,0),MATCH($A$1,'Data inputs'!$B$28:$G$28,0)))</f>
        <v>18605099.639404751</v>
      </c>
      <c r="C52" s="32">
        <f>IF($B24*$D24*C39&gt;0,$B24*$D24*C39,INDEX('Data inputs'!$B$29:$G$39,MATCH($A52,'Data inputs'!$A$29:$A$39,0),MATCH($A$1,'Data inputs'!$B$28:$G$28,0)))</f>
        <v>18605099.639404751</v>
      </c>
      <c r="D52" s="32">
        <f>IF($B24*$D24*D39&gt;0,$B24*$D24*D39,INDEX('Data inputs'!$B$29:$G$39,MATCH($A52,'Data inputs'!$A$29:$A$39,0),MATCH($A$1,'Data inputs'!$B$28:$G$28,0)))</f>
        <v>18605099.639404751</v>
      </c>
      <c r="E52" s="32">
        <f>IF($B24*$D24*E39&gt;0,$B24*$D24*E39,INDEX('Data inputs'!$B$29:$G$39,MATCH($A52,'Data inputs'!$A$29:$A$39,0),MATCH($A$1,'Data inputs'!$B$28:$G$28,0)))</f>
        <v>18605099.639404751</v>
      </c>
      <c r="F52" s="32">
        <f>IF($B24*$D24*F39&gt;0,$B24*$D24*F39,INDEX('Data inputs'!$B$29:$G$39,MATCH($A52,'Data inputs'!$A$29:$A$39,0),MATCH($A$1,'Data inputs'!$B$28:$G$28,0)))</f>
        <v>18605099.639404751</v>
      </c>
      <c r="G52" s="32">
        <f>IF($B24*$D24*G39&gt;0,$B24*$D24*G39,INDEX('Data inputs'!$B$29:$G$39,MATCH($A52,'Data inputs'!$A$29:$A$39,0),MATCH($A$1,'Data inputs'!$B$28:$G$28,0)))</f>
        <v>18605099.639404751</v>
      </c>
      <c r="H52" s="32">
        <f>IF($B24*$D24*H39&gt;0,$B24*$D24*H39,INDEX('Data inputs'!$B$29:$G$39,MATCH($A52,'Data inputs'!$A$29:$A$39,0),MATCH($A$1,'Data inputs'!$B$28:$G$28,0)))</f>
        <v>18605099.639404751</v>
      </c>
      <c r="I52" s="32">
        <f>IF($B24*$D24*I39&gt;0,$B24*$D24*I39,INDEX('Data inputs'!$B$29:$G$39,MATCH($A52,'Data inputs'!$A$29:$A$39,0),MATCH($A$1,'Data inputs'!$B$28:$G$28,0)))</f>
        <v>18605099.639404751</v>
      </c>
      <c r="J52" s="32">
        <f>IF($B24*$D24*J39&gt;0,$B24*$D24*J39,INDEX('Data inputs'!$B$29:$G$39,MATCH($A52,'Data inputs'!$A$29:$A$39,0),MATCH($A$1,'Data inputs'!$B$28:$G$28,0)))</f>
        <v>18605099.639404751</v>
      </c>
      <c r="K52" s="32">
        <f>IF($B24*$D24*K39&gt;0,$B24*$D24*K39,INDEX('Data inputs'!$B$29:$G$39,MATCH($A52,'Data inputs'!$A$29:$A$39,0),MATCH($A$1,'Data inputs'!$B$28:$G$28,0)))</f>
        <v>18605099.639404751</v>
      </c>
      <c r="L52" s="5">
        <f t="shared" si="16"/>
        <v>18605099.639404748</v>
      </c>
      <c r="N52" s="5">
        <f t="shared" si="17"/>
        <v>18605099.639404751</v>
      </c>
    </row>
    <row r="53" spans="1:14" x14ac:dyDescent="0.25">
      <c r="A53" s="4" t="s">
        <v>38</v>
      </c>
      <c r="B53" s="32">
        <f>IF($B25*$D25*B40&gt;0,$B25*$D25*B40,INDEX('Data inputs'!$B$29:$G$39,MATCH($A53,'Data inputs'!$A$29:$A$39,0),MATCH($A$1,'Data inputs'!$B$28:$G$28,0)))</f>
        <v>2494056.8572707144</v>
      </c>
      <c r="C53" s="32">
        <f>IF($B25*$D25*C40&gt;0,$B25*$D25*C40,INDEX('Data inputs'!$B$29:$G$39,MATCH($A53,'Data inputs'!$A$29:$A$39,0),MATCH($A$1,'Data inputs'!$B$28:$G$28,0)))</f>
        <v>2494056.8572707144</v>
      </c>
      <c r="D53" s="32">
        <f>IF($B25*$D25*D40&gt;0,$B25*$D25*D40,INDEX('Data inputs'!$B$29:$G$39,MATCH($A53,'Data inputs'!$A$29:$A$39,0),MATCH($A$1,'Data inputs'!$B$28:$G$28,0)))</f>
        <v>2494056.8572707144</v>
      </c>
      <c r="E53" s="32">
        <f>IF($B25*$D25*E40&gt;0,$B25*$D25*E40,INDEX('Data inputs'!$B$29:$G$39,MATCH($A53,'Data inputs'!$A$29:$A$39,0),MATCH($A$1,'Data inputs'!$B$28:$G$28,0)))</f>
        <v>2494056.8572707144</v>
      </c>
      <c r="F53" s="32">
        <f>IF($B25*$D25*F40&gt;0,$B25*$D25*F40,INDEX('Data inputs'!$B$29:$G$39,MATCH($A53,'Data inputs'!$A$29:$A$39,0),MATCH($A$1,'Data inputs'!$B$28:$G$28,0)))</f>
        <v>2494056.8572707144</v>
      </c>
      <c r="G53" s="32">
        <f>IF($B25*$D25*G40&gt;0,$B25*$D25*G40,INDEX('Data inputs'!$B$29:$G$39,MATCH($A53,'Data inputs'!$A$29:$A$39,0),MATCH($A$1,'Data inputs'!$B$28:$G$28,0)))</f>
        <v>2494056.8572707144</v>
      </c>
      <c r="H53" s="32">
        <f>IF($B25*$D25*H40&gt;0,$B25*$D25*H40,INDEX('Data inputs'!$B$29:$G$39,MATCH($A53,'Data inputs'!$A$29:$A$39,0),MATCH($A$1,'Data inputs'!$B$28:$G$28,0)))</f>
        <v>2494056.8572707144</v>
      </c>
      <c r="I53" s="32">
        <f>IF($B25*$D25*I40&gt;0,$B25*$D25*I40,INDEX('Data inputs'!$B$29:$G$39,MATCH($A53,'Data inputs'!$A$29:$A$39,0),MATCH($A$1,'Data inputs'!$B$28:$G$28,0)))</f>
        <v>2494056.8572707144</v>
      </c>
      <c r="J53" s="32">
        <f>IF($B25*$D25*J40&gt;0,$B25*$D25*J40,INDEX('Data inputs'!$B$29:$G$39,MATCH($A53,'Data inputs'!$A$29:$A$39,0),MATCH($A$1,'Data inputs'!$B$28:$G$28,0)))</f>
        <v>2494056.8572707144</v>
      </c>
      <c r="K53" s="32">
        <f>IF($B25*$D25*K40&gt;0,$B25*$D25*K40,INDEX('Data inputs'!$B$29:$G$39,MATCH($A53,'Data inputs'!$A$29:$A$39,0),MATCH($A$1,'Data inputs'!$B$28:$G$28,0)))</f>
        <v>2494056.8572707144</v>
      </c>
      <c r="L53" s="5">
        <f t="shared" si="16"/>
        <v>2494056.8572707144</v>
      </c>
      <c r="N53" s="5">
        <f t="shared" si="17"/>
        <v>2494056.8572707144</v>
      </c>
    </row>
    <row r="54" spans="1:14" x14ac:dyDescent="0.25">
      <c r="A54" s="4" t="s">
        <v>15</v>
      </c>
      <c r="B54" s="13">
        <f>IF($B26*$D26*B41&gt;0,$B26*$D26*B41,INDEX('Data inputs'!$B$29:$G$39,MATCH($A54,'Data inputs'!$A$29:$A$39,0),MATCH($A$1,'Data inputs'!$B$28:$G$28,0)))</f>
        <v>21578203.131393798</v>
      </c>
      <c r="C54" s="13">
        <f>IF($B26*$D26*C41&gt;0,$B26*$D26*C41,INDEX('Data inputs'!$B$29:$G$39,MATCH($A54,'Data inputs'!$A$29:$A$39,0),MATCH($A$1,'Data inputs'!$B$28:$G$28,0)))</f>
        <v>21578203.131393798</v>
      </c>
      <c r="D54" s="13">
        <f>IF($B26*$D26*D41&gt;0,$B26*$D26*D41,INDEX('Data inputs'!$B$29:$G$39,MATCH($A54,'Data inputs'!$A$29:$A$39,0),MATCH($A$1,'Data inputs'!$B$28:$G$28,0)))</f>
        <v>21578203.131393798</v>
      </c>
      <c r="E54" s="13">
        <f>IF($B26*$D26*E41&gt;0,$B26*$D26*E41,INDEX('Data inputs'!$B$29:$G$39,MATCH($A54,'Data inputs'!$A$29:$A$39,0),MATCH($A$1,'Data inputs'!$B$28:$G$28,0)))</f>
        <v>21578203.131393798</v>
      </c>
      <c r="F54" s="13">
        <f>IF($B26*$D26*F41&gt;0,$B26*$D26*F41,INDEX('Data inputs'!$B$29:$G$39,MATCH($A54,'Data inputs'!$A$29:$A$39,0),MATCH($A$1,'Data inputs'!$B$28:$G$28,0)))</f>
        <v>21578203.131393798</v>
      </c>
      <c r="G54" s="13">
        <f>IF($B26*$D26*G41&gt;0,$B26*$D26*G41,INDEX('Data inputs'!$B$29:$G$39,MATCH($A54,'Data inputs'!$A$29:$A$39,0),MATCH($A$1,'Data inputs'!$B$28:$G$28,0)))</f>
        <v>21578203.131393798</v>
      </c>
      <c r="H54" s="13">
        <f>IF($B26*$D26*H41&gt;0,$B26*$D26*H41,INDEX('Data inputs'!$B$29:$G$39,MATCH($A54,'Data inputs'!$A$29:$A$39,0),MATCH($A$1,'Data inputs'!$B$28:$G$28,0)))</f>
        <v>21578203.131393798</v>
      </c>
      <c r="I54" s="13">
        <f>IF($B26*$D26*I41&gt;0,$B26*$D26*I41,INDEX('Data inputs'!$B$29:$G$39,MATCH($A54,'Data inputs'!$A$29:$A$39,0),MATCH($A$1,'Data inputs'!$B$28:$G$28,0)))</f>
        <v>21578203.131393798</v>
      </c>
      <c r="J54" s="13">
        <f>IF($B26*$D26*J41&gt;0,$B26*$D26*J41,INDEX('Data inputs'!$B$29:$G$39,MATCH($A54,'Data inputs'!$A$29:$A$39,0),MATCH($A$1,'Data inputs'!$B$28:$G$28,0)))</f>
        <v>21578203.131393798</v>
      </c>
      <c r="K54" s="13">
        <f>IF($B26*$D26*K41&gt;0,$B26*$D26*K41,INDEX('Data inputs'!$B$29:$G$39,MATCH($A54,'Data inputs'!$A$29:$A$39,0),MATCH($A$1,'Data inputs'!$B$28:$G$28,0)))</f>
        <v>21578203.131393798</v>
      </c>
      <c r="L54" s="5">
        <f t="shared" si="16"/>
        <v>21578203.131393794</v>
      </c>
      <c r="N54" s="5">
        <f t="shared" si="17"/>
        <v>21578203.131393798</v>
      </c>
    </row>
    <row r="55" spans="1:14" x14ac:dyDescent="0.25">
      <c r="B55" s="5">
        <f t="shared" ref="B55:K55" si="18">SUM(B44:B54)</f>
        <v>74616750.853729069</v>
      </c>
      <c r="C55" s="5">
        <f t="shared" si="18"/>
        <v>74616750.853729069</v>
      </c>
      <c r="D55" s="5">
        <f t="shared" si="18"/>
        <v>74616750.853729069</v>
      </c>
      <c r="E55" s="5">
        <f t="shared" si="18"/>
        <v>74616750.853729069</v>
      </c>
      <c r="F55" s="5">
        <f t="shared" si="18"/>
        <v>74616750.853729069</v>
      </c>
      <c r="G55" s="5">
        <f t="shared" si="18"/>
        <v>74616750.853729069</v>
      </c>
      <c r="H55" s="5">
        <f t="shared" si="18"/>
        <v>74616750.853729069</v>
      </c>
      <c r="I55" s="5">
        <f t="shared" si="18"/>
        <v>74616750.853729069</v>
      </c>
      <c r="J55" s="5">
        <f t="shared" si="18"/>
        <v>74616750.853729069</v>
      </c>
      <c r="K55" s="5">
        <f t="shared" si="18"/>
        <v>74616750.853729069</v>
      </c>
      <c r="L55" s="5"/>
    </row>
    <row r="56" spans="1:14" x14ac:dyDescent="0.25">
      <c r="B56" s="5"/>
      <c r="C56" s="5"/>
      <c r="D56" s="5"/>
      <c r="E56" s="5"/>
      <c r="F56" s="5"/>
      <c r="G56" s="5"/>
      <c r="H56" s="5"/>
      <c r="I56" s="5"/>
      <c r="J56" s="5"/>
      <c r="K56" s="5"/>
      <c r="L56" s="5"/>
    </row>
    <row r="57" spans="1:14" s="1" customFormat="1" ht="30" x14ac:dyDescent="0.25">
      <c r="A57" s="15" t="s">
        <v>56</v>
      </c>
      <c r="B57" s="12" t="str">
        <f>'Summary dashboard'!C4</f>
        <v>2023</v>
      </c>
      <c r="C57" s="12">
        <f t="shared" ref="C57:K57" si="19">B57+1</f>
        <v>2024</v>
      </c>
      <c r="D57" s="12">
        <f t="shared" si="19"/>
        <v>2025</v>
      </c>
      <c r="E57" s="12">
        <f t="shared" si="19"/>
        <v>2026</v>
      </c>
      <c r="F57" s="12">
        <f t="shared" si="19"/>
        <v>2027</v>
      </c>
      <c r="G57" s="12">
        <f t="shared" si="19"/>
        <v>2028</v>
      </c>
      <c r="H57" s="12">
        <f t="shared" si="19"/>
        <v>2029</v>
      </c>
      <c r="I57" s="12">
        <f t="shared" si="19"/>
        <v>2030</v>
      </c>
      <c r="J57" s="12">
        <f t="shared" si="19"/>
        <v>2031</v>
      </c>
      <c r="K57" s="12">
        <f t="shared" si="19"/>
        <v>2032</v>
      </c>
      <c r="L57" s="1" t="s">
        <v>28</v>
      </c>
    </row>
    <row r="58" spans="1:14" x14ac:dyDescent="0.25">
      <c r="A58" s="4" t="s">
        <v>35</v>
      </c>
      <c r="B58" s="5">
        <f>B44*'Data inputs'!$B14</f>
        <v>4724210.5607387871</v>
      </c>
      <c r="C58" s="5">
        <f>C44*'Data inputs'!$B14</f>
        <v>4724210.5607387871</v>
      </c>
      <c r="D58" s="5">
        <f>D44*'Data inputs'!$B14</f>
        <v>4724210.5607387871</v>
      </c>
      <c r="E58" s="5">
        <f>E44*'Data inputs'!$B14</f>
        <v>4724210.5607387871</v>
      </c>
      <c r="F58" s="5">
        <f>F44*'Data inputs'!$B14</f>
        <v>4724210.5607387871</v>
      </c>
      <c r="G58" s="5">
        <f>G44*'Data inputs'!$B14</f>
        <v>4724210.5607387871</v>
      </c>
      <c r="H58" s="5">
        <f>H44*'Data inputs'!$B14</f>
        <v>4724210.5607387871</v>
      </c>
      <c r="I58" s="5">
        <f>I44*'Data inputs'!$B14</f>
        <v>4724210.5607387871</v>
      </c>
      <c r="J58" s="5">
        <f>J44*'Data inputs'!$B14</f>
        <v>4724210.5607387871</v>
      </c>
      <c r="K58" s="5">
        <f>K44*'Data inputs'!$B14</f>
        <v>4724210.5607387871</v>
      </c>
      <c r="L58" s="5">
        <f t="shared" ref="L58:L68" si="20">AVERAGE(B58:K58)</f>
        <v>4724210.5607387871</v>
      </c>
    </row>
    <row r="59" spans="1:14" x14ac:dyDescent="0.25">
      <c r="A59" s="4" t="s">
        <v>36</v>
      </c>
      <c r="B59" s="5">
        <f>B45*'Data inputs'!$B15</f>
        <v>1008987.2286193701</v>
      </c>
      <c r="C59" s="5">
        <f>C45*'Data inputs'!$B15</f>
        <v>1008987.2286193701</v>
      </c>
      <c r="D59" s="5">
        <f>D45*'Data inputs'!$B15</f>
        <v>1008987.2286193701</v>
      </c>
      <c r="E59" s="5">
        <f>E45*'Data inputs'!$B15</f>
        <v>1008987.2286193701</v>
      </c>
      <c r="F59" s="5">
        <f>F45*'Data inputs'!$B15</f>
        <v>1008987.2286193701</v>
      </c>
      <c r="G59" s="5">
        <f>G45*'Data inputs'!$B15</f>
        <v>1008987.2286193701</v>
      </c>
      <c r="H59" s="5">
        <f>H45*'Data inputs'!$B15</f>
        <v>1008987.2286193701</v>
      </c>
      <c r="I59" s="5">
        <f>I45*'Data inputs'!$B15</f>
        <v>1008987.2286193701</v>
      </c>
      <c r="J59" s="5">
        <f>J45*'Data inputs'!$B15</f>
        <v>1008987.2286193701</v>
      </c>
      <c r="K59" s="5">
        <f>K45*'Data inputs'!$B15</f>
        <v>1008987.2286193701</v>
      </c>
      <c r="L59" s="5">
        <f t="shared" si="20"/>
        <v>1008987.2286193704</v>
      </c>
    </row>
    <row r="60" spans="1:14" x14ac:dyDescent="0.25">
      <c r="A60" s="4" t="s">
        <v>11</v>
      </c>
      <c r="B60" s="5">
        <f>B46*'Data inputs'!$B16</f>
        <v>0</v>
      </c>
      <c r="C60" s="5">
        <f>C46*'Data inputs'!$B16</f>
        <v>0</v>
      </c>
      <c r="D60" s="5">
        <f>D46*'Data inputs'!$B16</f>
        <v>0</v>
      </c>
      <c r="E60" s="5">
        <f>E46*'Data inputs'!$B16</f>
        <v>0</v>
      </c>
      <c r="F60" s="5">
        <f>F46*'Data inputs'!$B16</f>
        <v>0</v>
      </c>
      <c r="G60" s="5">
        <f>G46*'Data inputs'!$B16</f>
        <v>0</v>
      </c>
      <c r="H60" s="5">
        <f>H46*'Data inputs'!$B16</f>
        <v>0</v>
      </c>
      <c r="I60" s="5">
        <f>I46*'Data inputs'!$B16</f>
        <v>0</v>
      </c>
      <c r="J60" s="5">
        <f>J46*'Data inputs'!$B16</f>
        <v>0</v>
      </c>
      <c r="K60" s="5">
        <f>K46*'Data inputs'!$B16</f>
        <v>0</v>
      </c>
      <c r="L60" s="5">
        <f t="shared" si="20"/>
        <v>0</v>
      </c>
    </row>
    <row r="61" spans="1:14" x14ac:dyDescent="0.25">
      <c r="A61" s="4" t="s">
        <v>124</v>
      </c>
      <c r="B61" s="5">
        <f>B47*'Data inputs'!$B17</f>
        <v>1968409.2113419618</v>
      </c>
      <c r="C61" s="5">
        <f>C47*'Data inputs'!$B17</f>
        <v>1968409.2113419618</v>
      </c>
      <c r="D61" s="5">
        <f>D47*'Data inputs'!$B17</f>
        <v>1968409.2113419618</v>
      </c>
      <c r="E61" s="5">
        <f>E47*'Data inputs'!$B17</f>
        <v>1968409.2113419618</v>
      </c>
      <c r="F61" s="5">
        <f>F47*'Data inputs'!$B17</f>
        <v>1968409.2113419618</v>
      </c>
      <c r="G61" s="5">
        <f>G47*'Data inputs'!$B17</f>
        <v>1968409.2113419618</v>
      </c>
      <c r="H61" s="5">
        <f>H47*'Data inputs'!$B17</f>
        <v>1968409.2113419618</v>
      </c>
      <c r="I61" s="5">
        <f>I47*'Data inputs'!$B17</f>
        <v>1968409.2113419618</v>
      </c>
      <c r="J61" s="5">
        <f>J47*'Data inputs'!$B17</f>
        <v>1968409.2113419618</v>
      </c>
      <c r="K61" s="5">
        <f>K47*'Data inputs'!$B17</f>
        <v>1968409.2113419618</v>
      </c>
      <c r="L61" s="5">
        <f t="shared" si="20"/>
        <v>1968409.2113419618</v>
      </c>
    </row>
    <row r="62" spans="1:14" x14ac:dyDescent="0.25">
      <c r="A62" s="4" t="s">
        <v>12</v>
      </c>
      <c r="B62" s="5">
        <f>B48*'Data inputs'!$B18</f>
        <v>1934062.2584848609</v>
      </c>
      <c r="C62" s="5">
        <f>C48*'Data inputs'!$B18</f>
        <v>1934062.2584848609</v>
      </c>
      <c r="D62" s="5">
        <f>D48*'Data inputs'!$B18</f>
        <v>1934062.2584848609</v>
      </c>
      <c r="E62" s="5">
        <f>E48*'Data inputs'!$B18</f>
        <v>1934062.2584848609</v>
      </c>
      <c r="F62" s="5">
        <f>F48*'Data inputs'!$B18</f>
        <v>1934062.2584848609</v>
      </c>
      <c r="G62" s="5">
        <f>G48*'Data inputs'!$B18</f>
        <v>1934062.2584848609</v>
      </c>
      <c r="H62" s="5">
        <f>H48*'Data inputs'!$B18</f>
        <v>1934062.2584848609</v>
      </c>
      <c r="I62" s="5">
        <f>I48*'Data inputs'!$B18</f>
        <v>1934062.2584848609</v>
      </c>
      <c r="J62" s="5">
        <f>J48*'Data inputs'!$B18</f>
        <v>1934062.2584848609</v>
      </c>
      <c r="K62" s="5">
        <f>K48*'Data inputs'!$B18</f>
        <v>1934062.2584848609</v>
      </c>
      <c r="L62" s="5">
        <f t="shared" si="20"/>
        <v>1934062.2584848613</v>
      </c>
    </row>
    <row r="63" spans="1:14" x14ac:dyDescent="0.25">
      <c r="A63" s="4" t="s">
        <v>13</v>
      </c>
      <c r="B63" s="5">
        <f>B49*'Data inputs'!$B19</f>
        <v>0</v>
      </c>
      <c r="C63" s="5">
        <f>C49*'Data inputs'!$B19</f>
        <v>0</v>
      </c>
      <c r="D63" s="5">
        <f>D49*'Data inputs'!$B19</f>
        <v>0</v>
      </c>
      <c r="E63" s="5">
        <f>E49*'Data inputs'!$B19</f>
        <v>0</v>
      </c>
      <c r="F63" s="5">
        <f>F49*'Data inputs'!$B19</f>
        <v>0</v>
      </c>
      <c r="G63" s="5">
        <f>G49*'Data inputs'!$B19</f>
        <v>0</v>
      </c>
      <c r="H63" s="5">
        <f>H49*'Data inputs'!$B19</f>
        <v>0</v>
      </c>
      <c r="I63" s="5">
        <f>I49*'Data inputs'!$B19</f>
        <v>0</v>
      </c>
      <c r="J63" s="5">
        <f>J49*'Data inputs'!$B19</f>
        <v>0</v>
      </c>
      <c r="K63" s="5">
        <f>K49*'Data inputs'!$B19</f>
        <v>0</v>
      </c>
      <c r="L63" s="5">
        <f t="shared" si="20"/>
        <v>0</v>
      </c>
    </row>
    <row r="64" spans="1:14" x14ac:dyDescent="0.25">
      <c r="A64" s="4" t="s">
        <v>14</v>
      </c>
      <c r="B64" s="5">
        <f>B50*'Data inputs'!$B20</f>
        <v>0</v>
      </c>
      <c r="C64" s="5">
        <f>C50*'Data inputs'!$B20</f>
        <v>0</v>
      </c>
      <c r="D64" s="5">
        <f>D50*'Data inputs'!$B20</f>
        <v>0</v>
      </c>
      <c r="E64" s="5">
        <f>E50*'Data inputs'!$B20</f>
        <v>0</v>
      </c>
      <c r="F64" s="5">
        <f>F50*'Data inputs'!$B20</f>
        <v>0</v>
      </c>
      <c r="G64" s="5">
        <f>G50*'Data inputs'!$B20</f>
        <v>0</v>
      </c>
      <c r="H64" s="5">
        <f>H50*'Data inputs'!$B20</f>
        <v>0</v>
      </c>
      <c r="I64" s="5">
        <f>I50*'Data inputs'!$B20</f>
        <v>0</v>
      </c>
      <c r="J64" s="5">
        <f>J50*'Data inputs'!$B20</f>
        <v>0</v>
      </c>
      <c r="K64" s="5">
        <f>K50*'Data inputs'!$B20</f>
        <v>0</v>
      </c>
      <c r="L64" s="5">
        <f t="shared" si="20"/>
        <v>0</v>
      </c>
    </row>
    <row r="65" spans="1:12" x14ac:dyDescent="0.25">
      <c r="A65" s="4" t="s">
        <v>125</v>
      </c>
      <c r="B65" s="5">
        <f>B51*'Data inputs'!$B21</f>
        <v>511702.37919945654</v>
      </c>
      <c r="C65" s="5">
        <f>C51*'Data inputs'!$B21</f>
        <v>511702.37919945654</v>
      </c>
      <c r="D65" s="5">
        <f>D51*'Data inputs'!$B21</f>
        <v>511702.37919945654</v>
      </c>
      <c r="E65" s="5">
        <f>E51*'Data inputs'!$B21</f>
        <v>511702.37919945654</v>
      </c>
      <c r="F65" s="5">
        <f>F51*'Data inputs'!$B21</f>
        <v>511702.37919945654</v>
      </c>
      <c r="G65" s="5">
        <f>G51*'Data inputs'!$B21</f>
        <v>511702.37919945654</v>
      </c>
      <c r="H65" s="5">
        <f>H51*'Data inputs'!$B21</f>
        <v>511702.37919945654</v>
      </c>
      <c r="I65" s="5">
        <f>I51*'Data inputs'!$B21</f>
        <v>511702.37919945654</v>
      </c>
      <c r="J65" s="5">
        <f>J51*'Data inputs'!$B21</f>
        <v>511702.37919945654</v>
      </c>
      <c r="K65" s="5">
        <f>K51*'Data inputs'!$B21</f>
        <v>511702.37919945654</v>
      </c>
      <c r="L65" s="5">
        <f t="shared" si="20"/>
        <v>511702.37919945654</v>
      </c>
    </row>
    <row r="66" spans="1:12" x14ac:dyDescent="0.25">
      <c r="A66" s="4" t="s">
        <v>37</v>
      </c>
      <c r="B66" s="5">
        <f>B52*'Data inputs'!$B22</f>
        <v>11721212.772824993</v>
      </c>
      <c r="C66" s="5">
        <f>C52*'Data inputs'!$B22</f>
        <v>11721212.772824993</v>
      </c>
      <c r="D66" s="5">
        <f>D52*'Data inputs'!$B22</f>
        <v>11721212.772824993</v>
      </c>
      <c r="E66" s="5">
        <f>E52*'Data inputs'!$B22</f>
        <v>11721212.772824993</v>
      </c>
      <c r="F66" s="5">
        <f>F52*'Data inputs'!$B22</f>
        <v>11721212.772824993</v>
      </c>
      <c r="G66" s="5">
        <f>G52*'Data inputs'!$B22</f>
        <v>11721212.772824993</v>
      </c>
      <c r="H66" s="5">
        <f>H52*'Data inputs'!$B22</f>
        <v>11721212.772824993</v>
      </c>
      <c r="I66" s="5">
        <f>I52*'Data inputs'!$B22</f>
        <v>11721212.772824993</v>
      </c>
      <c r="J66" s="5">
        <f>J52*'Data inputs'!$B22</f>
        <v>11721212.772824993</v>
      </c>
      <c r="K66" s="5">
        <f>K52*'Data inputs'!$B22</f>
        <v>11721212.772824993</v>
      </c>
      <c r="L66" s="5">
        <f t="shared" si="20"/>
        <v>11721212.772824991</v>
      </c>
    </row>
    <row r="67" spans="1:12" x14ac:dyDescent="0.25">
      <c r="A67" s="4" t="s">
        <v>38</v>
      </c>
      <c r="B67" s="5">
        <f>B53*'Data inputs'!$B23</f>
        <v>249405.68572707145</v>
      </c>
      <c r="C67" s="5">
        <f>C53*'Data inputs'!$B23</f>
        <v>249405.68572707145</v>
      </c>
      <c r="D67" s="5">
        <f>D53*'Data inputs'!$B23</f>
        <v>249405.68572707145</v>
      </c>
      <c r="E67" s="5">
        <f>E53*'Data inputs'!$B23</f>
        <v>249405.68572707145</v>
      </c>
      <c r="F67" s="5">
        <f>F53*'Data inputs'!$B23</f>
        <v>249405.68572707145</v>
      </c>
      <c r="G67" s="5">
        <f>G53*'Data inputs'!$B23</f>
        <v>249405.68572707145</v>
      </c>
      <c r="H67" s="5">
        <f>H53*'Data inputs'!$B23</f>
        <v>249405.68572707145</v>
      </c>
      <c r="I67" s="5">
        <f>I53*'Data inputs'!$B23</f>
        <v>249405.68572707145</v>
      </c>
      <c r="J67" s="5">
        <f>J53*'Data inputs'!$B23</f>
        <v>249405.68572707145</v>
      </c>
      <c r="K67" s="5">
        <f>K53*'Data inputs'!$B23</f>
        <v>249405.68572707145</v>
      </c>
      <c r="L67" s="5">
        <f t="shared" si="20"/>
        <v>249405.68572707142</v>
      </c>
    </row>
    <row r="68" spans="1:12" x14ac:dyDescent="0.25">
      <c r="A68" s="4" t="s">
        <v>15</v>
      </c>
      <c r="B68" s="13">
        <f>B54*'Data inputs'!$B24</f>
        <v>8631281.2525575198</v>
      </c>
      <c r="C68" s="13">
        <f>C54*'Data inputs'!$B24</f>
        <v>8631281.2525575198</v>
      </c>
      <c r="D68" s="13">
        <f>D54*'Data inputs'!$B24</f>
        <v>8631281.2525575198</v>
      </c>
      <c r="E68" s="13">
        <f>E54*'Data inputs'!$B24</f>
        <v>8631281.2525575198</v>
      </c>
      <c r="F68" s="13">
        <f>F54*'Data inputs'!$B24</f>
        <v>8631281.2525575198</v>
      </c>
      <c r="G68" s="13">
        <f>G54*'Data inputs'!$B24</f>
        <v>8631281.2525575198</v>
      </c>
      <c r="H68" s="13">
        <f>H54*'Data inputs'!$B24</f>
        <v>8631281.2525575198</v>
      </c>
      <c r="I68" s="13">
        <f>I54*'Data inputs'!$B24</f>
        <v>8631281.2525575198</v>
      </c>
      <c r="J68" s="13">
        <f>J54*'Data inputs'!$B24</f>
        <v>8631281.2525575198</v>
      </c>
      <c r="K68" s="13">
        <f>K54*'Data inputs'!$B24</f>
        <v>8631281.2525575198</v>
      </c>
      <c r="L68" s="5">
        <f t="shared" si="20"/>
        <v>8631281.252557518</v>
      </c>
    </row>
    <row r="69" spans="1:12" x14ac:dyDescent="0.25">
      <c r="B69" s="5">
        <f t="shared" ref="B69:K69" si="21">SUM(B58:B68)</f>
        <v>30749271.349494021</v>
      </c>
      <c r="C69" s="5">
        <f t="shared" si="21"/>
        <v>30749271.349494021</v>
      </c>
      <c r="D69" s="5">
        <f t="shared" si="21"/>
        <v>30749271.349494021</v>
      </c>
      <c r="E69" s="5">
        <f t="shared" si="21"/>
        <v>30749271.349494021</v>
      </c>
      <c r="F69" s="5">
        <f t="shared" si="21"/>
        <v>30749271.349494021</v>
      </c>
      <c r="G69" s="5">
        <f t="shared" si="21"/>
        <v>30749271.349494021</v>
      </c>
      <c r="H69" s="5">
        <f t="shared" si="21"/>
        <v>30749271.349494021</v>
      </c>
      <c r="I69" s="5">
        <f t="shared" si="21"/>
        <v>30749271.349494021</v>
      </c>
      <c r="J69" s="5">
        <f t="shared" si="21"/>
        <v>30749271.349494021</v>
      </c>
      <c r="K69" s="5">
        <f t="shared" si="21"/>
        <v>30749271.349494021</v>
      </c>
      <c r="L69" s="5"/>
    </row>
    <row r="72" spans="1:12" ht="30" x14ac:dyDescent="0.25">
      <c r="A72" s="15" t="s">
        <v>57</v>
      </c>
      <c r="B72" s="12" t="str">
        <f>'Summary dashboard'!C4</f>
        <v>2023</v>
      </c>
      <c r="C72" s="12">
        <f t="shared" ref="C72:K72" si="22">B57+1</f>
        <v>2024</v>
      </c>
      <c r="D72" s="12">
        <f t="shared" si="22"/>
        <v>2025</v>
      </c>
      <c r="E72" s="12">
        <f t="shared" si="22"/>
        <v>2026</v>
      </c>
      <c r="F72" s="12">
        <f t="shared" si="22"/>
        <v>2027</v>
      </c>
      <c r="G72" s="12">
        <f t="shared" si="22"/>
        <v>2028</v>
      </c>
      <c r="H72" s="12">
        <f t="shared" si="22"/>
        <v>2029</v>
      </c>
      <c r="I72" s="12">
        <f t="shared" si="22"/>
        <v>2030</v>
      </c>
      <c r="J72" s="12">
        <f t="shared" si="22"/>
        <v>2031</v>
      </c>
      <c r="K72" s="12">
        <f t="shared" si="22"/>
        <v>2032</v>
      </c>
      <c r="L72" s="1" t="s">
        <v>28</v>
      </c>
    </row>
    <row r="73" spans="1:12" x14ac:dyDescent="0.25">
      <c r="A73" s="4" t="s">
        <v>35</v>
      </c>
      <c r="B73" s="5">
        <f>B44*'Data inputs'!$C14</f>
        <v>3497142.8826248171</v>
      </c>
      <c r="C73" s="5">
        <f>C44*'Data inputs'!$C14</f>
        <v>3497142.8826248171</v>
      </c>
      <c r="D73" s="5">
        <f>D44*'Data inputs'!$C14</f>
        <v>3497142.8826248171</v>
      </c>
      <c r="E73" s="5">
        <f>E44*'Data inputs'!$C14</f>
        <v>3497142.8826248171</v>
      </c>
      <c r="F73" s="5">
        <f>F44*'Data inputs'!$C14</f>
        <v>3497142.8826248171</v>
      </c>
      <c r="G73" s="5">
        <f>G44*'Data inputs'!$C14</f>
        <v>3497142.8826248171</v>
      </c>
      <c r="H73" s="5">
        <f>H44*'Data inputs'!$C14</f>
        <v>3497142.8826248171</v>
      </c>
      <c r="I73" s="5">
        <f>I44*'Data inputs'!$C14</f>
        <v>3497142.8826248171</v>
      </c>
      <c r="J73" s="5">
        <f>J44*'Data inputs'!$C14</f>
        <v>3497142.8826248171</v>
      </c>
      <c r="K73" s="5">
        <f>K44*'Data inputs'!$C14</f>
        <v>3497142.8826248171</v>
      </c>
      <c r="L73" s="5">
        <f>AVERAGE(B73:K73)</f>
        <v>3497142.8826248171</v>
      </c>
    </row>
    <row r="74" spans="1:12" x14ac:dyDescent="0.25">
      <c r="A74" s="4" t="s">
        <v>36</v>
      </c>
      <c r="B74" s="5">
        <f>B45*'Data inputs'!$C15</f>
        <v>336329.0762064567</v>
      </c>
      <c r="C74" s="5">
        <f>C45*'Data inputs'!$C15</f>
        <v>336329.0762064567</v>
      </c>
      <c r="D74" s="5">
        <f>D45*'Data inputs'!$C15</f>
        <v>336329.0762064567</v>
      </c>
      <c r="E74" s="5">
        <f>E45*'Data inputs'!$C15</f>
        <v>336329.0762064567</v>
      </c>
      <c r="F74" s="5">
        <f>F45*'Data inputs'!$C15</f>
        <v>336329.0762064567</v>
      </c>
      <c r="G74" s="5">
        <f>G45*'Data inputs'!$C15</f>
        <v>336329.0762064567</v>
      </c>
      <c r="H74" s="5">
        <f>H45*'Data inputs'!$C15</f>
        <v>336329.0762064567</v>
      </c>
      <c r="I74" s="5">
        <f>I45*'Data inputs'!$C15</f>
        <v>336329.0762064567</v>
      </c>
      <c r="J74" s="5">
        <f>J45*'Data inputs'!$C15</f>
        <v>336329.0762064567</v>
      </c>
      <c r="K74" s="5">
        <f>K45*'Data inputs'!$C15</f>
        <v>336329.0762064567</v>
      </c>
      <c r="L74" s="5">
        <f t="shared" ref="L74:L83" si="23">AVERAGE(B74:K74)</f>
        <v>336329.07620645675</v>
      </c>
    </row>
    <row r="75" spans="1:12" x14ac:dyDescent="0.25">
      <c r="A75" s="4" t="s">
        <v>11</v>
      </c>
      <c r="B75" s="5">
        <f>B46*'Data inputs'!$C16</f>
        <v>0</v>
      </c>
      <c r="C75" s="5">
        <f>C46*'Data inputs'!$C16</f>
        <v>0</v>
      </c>
      <c r="D75" s="5">
        <f>D46*'Data inputs'!$C16</f>
        <v>0</v>
      </c>
      <c r="E75" s="5">
        <f>E46*'Data inputs'!$C16</f>
        <v>0</v>
      </c>
      <c r="F75" s="5">
        <f>F46*'Data inputs'!$C16</f>
        <v>0</v>
      </c>
      <c r="G75" s="5">
        <f>G46*'Data inputs'!$C16</f>
        <v>0</v>
      </c>
      <c r="H75" s="5">
        <f>H46*'Data inputs'!$C16</f>
        <v>0</v>
      </c>
      <c r="I75" s="5">
        <f>I46*'Data inputs'!$C16</f>
        <v>0</v>
      </c>
      <c r="J75" s="5">
        <f>J46*'Data inputs'!$C16</f>
        <v>0</v>
      </c>
      <c r="K75" s="5">
        <f>K46*'Data inputs'!$C16</f>
        <v>0</v>
      </c>
      <c r="L75" s="5">
        <f t="shared" si="23"/>
        <v>0</v>
      </c>
    </row>
    <row r="76" spans="1:12" x14ac:dyDescent="0.25">
      <c r="A76" s="4" t="s">
        <v>124</v>
      </c>
      <c r="B76" s="5">
        <f>B47*'Data inputs'!$C17</f>
        <v>1476306.9085064714</v>
      </c>
      <c r="C76" s="5">
        <f>C47*'Data inputs'!$C17</f>
        <v>1476306.9085064714</v>
      </c>
      <c r="D76" s="5">
        <f>D47*'Data inputs'!$C17</f>
        <v>1476306.9085064714</v>
      </c>
      <c r="E76" s="5">
        <f>E47*'Data inputs'!$C17</f>
        <v>1476306.9085064714</v>
      </c>
      <c r="F76" s="5">
        <f>F47*'Data inputs'!$C17</f>
        <v>1476306.9085064714</v>
      </c>
      <c r="G76" s="5">
        <f>G47*'Data inputs'!$C17</f>
        <v>1476306.9085064714</v>
      </c>
      <c r="H76" s="5">
        <f>H47*'Data inputs'!$C17</f>
        <v>1476306.9085064714</v>
      </c>
      <c r="I76" s="5">
        <f>I47*'Data inputs'!$C17</f>
        <v>1476306.9085064714</v>
      </c>
      <c r="J76" s="5">
        <f>J47*'Data inputs'!$C17</f>
        <v>1476306.9085064714</v>
      </c>
      <c r="K76" s="5">
        <f>K47*'Data inputs'!$C17</f>
        <v>1476306.9085064714</v>
      </c>
      <c r="L76" s="5">
        <f t="shared" si="23"/>
        <v>1476306.9085064714</v>
      </c>
    </row>
    <row r="77" spans="1:12" x14ac:dyDescent="0.25">
      <c r="A77" s="4" t="s">
        <v>12</v>
      </c>
      <c r="B77" s="5">
        <f>B48*'Data inputs'!$C18</f>
        <v>0</v>
      </c>
      <c r="C77" s="5">
        <f>C48*'Data inputs'!$C18</f>
        <v>0</v>
      </c>
      <c r="D77" s="5">
        <f>D48*'Data inputs'!$C18</f>
        <v>0</v>
      </c>
      <c r="E77" s="5">
        <f>E48*'Data inputs'!$C18</f>
        <v>0</v>
      </c>
      <c r="F77" s="5">
        <f>F48*'Data inputs'!$C18</f>
        <v>0</v>
      </c>
      <c r="G77" s="5">
        <f>G48*'Data inputs'!$C18</f>
        <v>0</v>
      </c>
      <c r="H77" s="5">
        <f>H48*'Data inputs'!$C18</f>
        <v>0</v>
      </c>
      <c r="I77" s="5">
        <f>I48*'Data inputs'!$C18</f>
        <v>0</v>
      </c>
      <c r="J77" s="5">
        <f>J48*'Data inputs'!$C18</f>
        <v>0</v>
      </c>
      <c r="K77" s="5">
        <f>K48*'Data inputs'!$C18</f>
        <v>0</v>
      </c>
      <c r="L77" s="5">
        <f t="shared" si="23"/>
        <v>0</v>
      </c>
    </row>
    <row r="78" spans="1:12" x14ac:dyDescent="0.25">
      <c r="A78" s="4" t="s">
        <v>13</v>
      </c>
      <c r="B78" s="5">
        <f>B49*'Data inputs'!$C19</f>
        <v>0</v>
      </c>
      <c r="C78" s="5">
        <f>C49*'Data inputs'!$C19</f>
        <v>0</v>
      </c>
      <c r="D78" s="5">
        <f>D49*'Data inputs'!$C19</f>
        <v>0</v>
      </c>
      <c r="E78" s="5">
        <f>E49*'Data inputs'!$C19</f>
        <v>0</v>
      </c>
      <c r="F78" s="5">
        <f>F49*'Data inputs'!$C19</f>
        <v>0</v>
      </c>
      <c r="G78" s="5">
        <f>G49*'Data inputs'!$C19</f>
        <v>0</v>
      </c>
      <c r="H78" s="5">
        <f>H49*'Data inputs'!$C19</f>
        <v>0</v>
      </c>
      <c r="I78" s="5">
        <f>I49*'Data inputs'!$C19</f>
        <v>0</v>
      </c>
      <c r="J78" s="5">
        <f>J49*'Data inputs'!$C19</f>
        <v>0</v>
      </c>
      <c r="K78" s="5">
        <f>K49*'Data inputs'!$C19</f>
        <v>0</v>
      </c>
      <c r="L78" s="5">
        <f t="shared" si="23"/>
        <v>0</v>
      </c>
    </row>
    <row r="79" spans="1:12" x14ac:dyDescent="0.25">
      <c r="A79" s="4" t="s">
        <v>14</v>
      </c>
      <c r="B79" s="5">
        <f>B50*'Data inputs'!$C20</f>
        <v>0</v>
      </c>
      <c r="C79" s="5">
        <f>C50*'Data inputs'!$C20</f>
        <v>0</v>
      </c>
      <c r="D79" s="5">
        <f>D50*'Data inputs'!$C20</f>
        <v>0</v>
      </c>
      <c r="E79" s="5">
        <f>E50*'Data inputs'!$C20</f>
        <v>0</v>
      </c>
      <c r="F79" s="5">
        <f>F50*'Data inputs'!$C20</f>
        <v>0</v>
      </c>
      <c r="G79" s="5">
        <f>G50*'Data inputs'!$C20</f>
        <v>0</v>
      </c>
      <c r="H79" s="5">
        <f>H50*'Data inputs'!$C20</f>
        <v>0</v>
      </c>
      <c r="I79" s="5">
        <f>I50*'Data inputs'!$C20</f>
        <v>0</v>
      </c>
      <c r="J79" s="5">
        <f>J50*'Data inputs'!$C20</f>
        <v>0</v>
      </c>
      <c r="K79" s="5">
        <f>K50*'Data inputs'!$C20</f>
        <v>0</v>
      </c>
      <c r="L79" s="5">
        <f t="shared" si="23"/>
        <v>0</v>
      </c>
    </row>
    <row r="80" spans="1:12" x14ac:dyDescent="0.25">
      <c r="A80" s="4" t="s">
        <v>125</v>
      </c>
      <c r="B80" s="5">
        <f>B51*'Data inputs'!$C21</f>
        <v>383776.78439959243</v>
      </c>
      <c r="C80" s="5">
        <f>C51*'Data inputs'!$C21</f>
        <v>383776.78439959243</v>
      </c>
      <c r="D80" s="5">
        <f>D51*'Data inputs'!$C21</f>
        <v>383776.78439959243</v>
      </c>
      <c r="E80" s="5">
        <f>E51*'Data inputs'!$C21</f>
        <v>383776.78439959243</v>
      </c>
      <c r="F80" s="5">
        <f>F51*'Data inputs'!$C21</f>
        <v>383776.78439959243</v>
      </c>
      <c r="G80" s="5">
        <f>G51*'Data inputs'!$C21</f>
        <v>383776.78439959243</v>
      </c>
      <c r="H80" s="5">
        <f>H51*'Data inputs'!$C21</f>
        <v>383776.78439959243</v>
      </c>
      <c r="I80" s="5">
        <f>I51*'Data inputs'!$C21</f>
        <v>383776.78439959243</v>
      </c>
      <c r="J80" s="5">
        <f>J51*'Data inputs'!$C21</f>
        <v>383776.78439959243</v>
      </c>
      <c r="K80" s="5">
        <f>K51*'Data inputs'!$C21</f>
        <v>383776.78439959243</v>
      </c>
      <c r="L80" s="5">
        <f t="shared" si="23"/>
        <v>383776.78439959238</v>
      </c>
    </row>
    <row r="81" spans="1:12" x14ac:dyDescent="0.25">
      <c r="A81" s="4" t="s">
        <v>37</v>
      </c>
      <c r="B81" s="5">
        <f>B52*'Data inputs'!$C22</f>
        <v>8000192.844944044</v>
      </c>
      <c r="C81" s="5">
        <f>C52*'Data inputs'!$C22</f>
        <v>8000192.844944044</v>
      </c>
      <c r="D81" s="5">
        <f>D52*'Data inputs'!$C22</f>
        <v>8000192.844944044</v>
      </c>
      <c r="E81" s="5">
        <f>E52*'Data inputs'!$C22</f>
        <v>8000192.844944044</v>
      </c>
      <c r="F81" s="5">
        <f>F52*'Data inputs'!$C22</f>
        <v>8000192.844944044</v>
      </c>
      <c r="G81" s="5">
        <f>G52*'Data inputs'!$C22</f>
        <v>8000192.844944044</v>
      </c>
      <c r="H81" s="5">
        <f>H52*'Data inputs'!$C22</f>
        <v>8000192.844944044</v>
      </c>
      <c r="I81" s="5">
        <f>I52*'Data inputs'!$C22</f>
        <v>8000192.844944044</v>
      </c>
      <c r="J81" s="5">
        <f>J52*'Data inputs'!$C22</f>
        <v>8000192.844944044</v>
      </c>
      <c r="K81" s="5">
        <f>K52*'Data inputs'!$C22</f>
        <v>8000192.844944044</v>
      </c>
      <c r="L81" s="5">
        <f t="shared" si="23"/>
        <v>8000192.8449440431</v>
      </c>
    </row>
    <row r="82" spans="1:12" x14ac:dyDescent="0.25">
      <c r="A82" s="4" t="s">
        <v>38</v>
      </c>
      <c r="B82" s="5">
        <f>B53*'Data inputs'!$C23</f>
        <v>0</v>
      </c>
      <c r="C82" s="5">
        <f>C53*'Data inputs'!$C23</f>
        <v>0</v>
      </c>
      <c r="D82" s="5">
        <f>D53*'Data inputs'!$C23</f>
        <v>0</v>
      </c>
      <c r="E82" s="5">
        <f>E53*'Data inputs'!$C23</f>
        <v>0</v>
      </c>
      <c r="F82" s="5">
        <f>F53*'Data inputs'!$C23</f>
        <v>0</v>
      </c>
      <c r="G82" s="5">
        <f>G53*'Data inputs'!$C23</f>
        <v>0</v>
      </c>
      <c r="H82" s="5">
        <f>H53*'Data inputs'!$C23</f>
        <v>0</v>
      </c>
      <c r="I82" s="5">
        <f>I53*'Data inputs'!$C23</f>
        <v>0</v>
      </c>
      <c r="J82" s="5">
        <f>J53*'Data inputs'!$C23</f>
        <v>0</v>
      </c>
      <c r="K82" s="5">
        <f>K53*'Data inputs'!$C23</f>
        <v>0</v>
      </c>
      <c r="L82" s="5">
        <f t="shared" si="23"/>
        <v>0</v>
      </c>
    </row>
    <row r="83" spans="1:12" x14ac:dyDescent="0.25">
      <c r="A83" s="4" t="s">
        <v>15</v>
      </c>
      <c r="B83" s="13">
        <f>B54*'Data inputs'!$C24</f>
        <v>4315640.626278759</v>
      </c>
      <c r="C83" s="13">
        <f>C54*'Data inputs'!$C24</f>
        <v>4315640.626278759</v>
      </c>
      <c r="D83" s="13">
        <f>D54*'Data inputs'!$C24</f>
        <v>4315640.626278759</v>
      </c>
      <c r="E83" s="13">
        <f>E54*'Data inputs'!$C24</f>
        <v>4315640.626278759</v>
      </c>
      <c r="F83" s="13">
        <f>F54*'Data inputs'!$C24</f>
        <v>4315640.626278759</v>
      </c>
      <c r="G83" s="13">
        <f>G54*'Data inputs'!$C24</f>
        <v>4315640.626278759</v>
      </c>
      <c r="H83" s="13">
        <f>H54*'Data inputs'!$C24</f>
        <v>4315640.626278759</v>
      </c>
      <c r="I83" s="13">
        <f>I54*'Data inputs'!$C24</f>
        <v>4315640.626278759</v>
      </c>
      <c r="J83" s="13">
        <f>J54*'Data inputs'!$C24</f>
        <v>4315640.626278759</v>
      </c>
      <c r="K83" s="13">
        <f>K54*'Data inputs'!$C24</f>
        <v>4315640.626278759</v>
      </c>
      <c r="L83" s="5">
        <f t="shared" si="23"/>
        <v>4315640.626278759</v>
      </c>
    </row>
    <row r="84" spans="1:12" x14ac:dyDescent="0.25">
      <c r="B84" s="5">
        <f>SUM(B73:B83)</f>
        <v>18009389.122960139</v>
      </c>
      <c r="C84" s="5">
        <f t="shared" ref="C84:K84" si="24">SUM(C73:C83)</f>
        <v>18009389.122960139</v>
      </c>
      <c r="D84" s="5">
        <f t="shared" si="24"/>
        <v>18009389.122960139</v>
      </c>
      <c r="E84" s="5">
        <f t="shared" si="24"/>
        <v>18009389.122960139</v>
      </c>
      <c r="F84" s="5">
        <f t="shared" si="24"/>
        <v>18009389.122960139</v>
      </c>
      <c r="G84" s="5">
        <f t="shared" si="24"/>
        <v>18009389.122960139</v>
      </c>
      <c r="H84" s="5">
        <f t="shared" si="24"/>
        <v>18009389.122960139</v>
      </c>
      <c r="I84" s="5">
        <f t="shared" si="24"/>
        <v>18009389.122960139</v>
      </c>
      <c r="J84" s="5">
        <f t="shared" si="24"/>
        <v>18009389.122960139</v>
      </c>
      <c r="K84" s="5">
        <f t="shared" si="24"/>
        <v>18009389.122960139</v>
      </c>
      <c r="L84" s="5"/>
    </row>
    <row r="86" spans="1:12" ht="30" x14ac:dyDescent="0.25">
      <c r="A86" s="15" t="s">
        <v>58</v>
      </c>
      <c r="B86" s="12" t="str">
        <f>'Summary dashboard'!C4</f>
        <v>2023</v>
      </c>
      <c r="C86" s="49">
        <f t="shared" ref="C86:K86" si="25">B86+1</f>
        <v>2024</v>
      </c>
      <c r="D86" s="49">
        <f t="shared" si="25"/>
        <v>2025</v>
      </c>
      <c r="E86" s="49">
        <f t="shared" si="25"/>
        <v>2026</v>
      </c>
      <c r="F86" s="49">
        <f t="shared" si="25"/>
        <v>2027</v>
      </c>
      <c r="G86" s="49">
        <f t="shared" si="25"/>
        <v>2028</v>
      </c>
      <c r="H86" s="49">
        <f t="shared" si="25"/>
        <v>2029</v>
      </c>
      <c r="I86" s="49">
        <f t="shared" si="25"/>
        <v>2030</v>
      </c>
      <c r="J86" s="49">
        <f t="shared" si="25"/>
        <v>2031</v>
      </c>
      <c r="K86" s="49">
        <f t="shared" si="25"/>
        <v>2032</v>
      </c>
      <c r="L86" s="1" t="s">
        <v>28</v>
      </c>
    </row>
    <row r="87" spans="1:12" x14ac:dyDescent="0.25">
      <c r="A87" s="4" t="s">
        <v>35</v>
      </c>
      <c r="B87" s="5">
        <f>(B73+B58)/2</f>
        <v>4110676.7216818021</v>
      </c>
      <c r="C87" s="5">
        <f t="shared" ref="C87:K87" si="26">(C73+C58)/2</f>
        <v>4110676.7216818021</v>
      </c>
      <c r="D87" s="5">
        <f t="shared" si="26"/>
        <v>4110676.7216818021</v>
      </c>
      <c r="E87" s="5">
        <f t="shared" si="26"/>
        <v>4110676.7216818021</v>
      </c>
      <c r="F87" s="5">
        <f t="shared" si="26"/>
        <v>4110676.7216818021</v>
      </c>
      <c r="G87" s="5">
        <f t="shared" si="26"/>
        <v>4110676.7216818021</v>
      </c>
      <c r="H87" s="5">
        <f t="shared" si="26"/>
        <v>4110676.7216818021</v>
      </c>
      <c r="I87" s="5">
        <f t="shared" si="26"/>
        <v>4110676.7216818021</v>
      </c>
      <c r="J87" s="5">
        <f t="shared" si="26"/>
        <v>4110676.7216818021</v>
      </c>
      <c r="K87" s="5">
        <f t="shared" si="26"/>
        <v>4110676.7216818021</v>
      </c>
      <c r="L87" s="5">
        <f t="shared" ref="L87:L97" si="27">AVERAGE(B87:K87)</f>
        <v>4110676.7216818025</v>
      </c>
    </row>
    <row r="88" spans="1:12" x14ac:dyDescent="0.25">
      <c r="A88" s="4" t="s">
        <v>36</v>
      </c>
      <c r="B88" s="5">
        <f t="shared" ref="B88:K97" si="28">(B74+B59)/2</f>
        <v>672658.15241291339</v>
      </c>
      <c r="C88" s="5">
        <f t="shared" si="28"/>
        <v>672658.15241291339</v>
      </c>
      <c r="D88" s="5">
        <f t="shared" si="28"/>
        <v>672658.15241291339</v>
      </c>
      <c r="E88" s="5">
        <f t="shared" si="28"/>
        <v>672658.15241291339</v>
      </c>
      <c r="F88" s="5">
        <f t="shared" si="28"/>
        <v>672658.15241291339</v>
      </c>
      <c r="G88" s="5">
        <f t="shared" si="28"/>
        <v>672658.15241291339</v>
      </c>
      <c r="H88" s="5">
        <f t="shared" si="28"/>
        <v>672658.15241291339</v>
      </c>
      <c r="I88" s="5">
        <f t="shared" si="28"/>
        <v>672658.15241291339</v>
      </c>
      <c r="J88" s="5">
        <f t="shared" si="28"/>
        <v>672658.15241291339</v>
      </c>
      <c r="K88" s="5">
        <f t="shared" si="28"/>
        <v>672658.15241291339</v>
      </c>
      <c r="L88" s="5">
        <f t="shared" si="27"/>
        <v>672658.15241291351</v>
      </c>
    </row>
    <row r="89" spans="1:12" x14ac:dyDescent="0.25">
      <c r="A89" s="4" t="s">
        <v>11</v>
      </c>
      <c r="B89" s="5">
        <f t="shared" si="28"/>
        <v>0</v>
      </c>
      <c r="C89" s="5">
        <f t="shared" si="28"/>
        <v>0</v>
      </c>
      <c r="D89" s="5">
        <f t="shared" si="28"/>
        <v>0</v>
      </c>
      <c r="E89" s="5">
        <f t="shared" si="28"/>
        <v>0</v>
      </c>
      <c r="F89" s="5">
        <f t="shared" si="28"/>
        <v>0</v>
      </c>
      <c r="G89" s="5">
        <f t="shared" si="28"/>
        <v>0</v>
      </c>
      <c r="H89" s="5">
        <f t="shared" si="28"/>
        <v>0</v>
      </c>
      <c r="I89" s="5">
        <f t="shared" si="28"/>
        <v>0</v>
      </c>
      <c r="J89" s="5">
        <f t="shared" si="28"/>
        <v>0</v>
      </c>
      <c r="K89" s="5">
        <f t="shared" si="28"/>
        <v>0</v>
      </c>
      <c r="L89" s="5">
        <f t="shared" si="27"/>
        <v>0</v>
      </c>
    </row>
    <row r="90" spans="1:12" x14ac:dyDescent="0.25">
      <c r="A90" s="4" t="s">
        <v>124</v>
      </c>
      <c r="B90" s="5">
        <f t="shared" si="28"/>
        <v>1722358.0599242165</v>
      </c>
      <c r="C90" s="5">
        <f t="shared" si="28"/>
        <v>1722358.0599242165</v>
      </c>
      <c r="D90" s="5">
        <f t="shared" si="28"/>
        <v>1722358.0599242165</v>
      </c>
      <c r="E90" s="5">
        <f t="shared" si="28"/>
        <v>1722358.0599242165</v>
      </c>
      <c r="F90" s="5">
        <f t="shared" si="28"/>
        <v>1722358.0599242165</v>
      </c>
      <c r="G90" s="5">
        <f t="shared" si="28"/>
        <v>1722358.0599242165</v>
      </c>
      <c r="H90" s="5">
        <f t="shared" si="28"/>
        <v>1722358.0599242165</v>
      </c>
      <c r="I90" s="5">
        <f t="shared" si="28"/>
        <v>1722358.0599242165</v>
      </c>
      <c r="J90" s="5">
        <f t="shared" si="28"/>
        <v>1722358.0599242165</v>
      </c>
      <c r="K90" s="5">
        <f t="shared" si="28"/>
        <v>1722358.0599242165</v>
      </c>
      <c r="L90" s="5">
        <f t="shared" si="27"/>
        <v>1722358.0599242165</v>
      </c>
    </row>
    <row r="91" spans="1:12" x14ac:dyDescent="0.25">
      <c r="A91" s="4" t="s">
        <v>12</v>
      </c>
      <c r="B91" s="5">
        <f t="shared" si="28"/>
        <v>967031.12924243044</v>
      </c>
      <c r="C91" s="5">
        <f t="shared" si="28"/>
        <v>967031.12924243044</v>
      </c>
      <c r="D91" s="5">
        <f t="shared" si="28"/>
        <v>967031.12924243044</v>
      </c>
      <c r="E91" s="5">
        <f t="shared" si="28"/>
        <v>967031.12924243044</v>
      </c>
      <c r="F91" s="5">
        <f t="shared" si="28"/>
        <v>967031.12924243044</v>
      </c>
      <c r="G91" s="5">
        <f t="shared" si="28"/>
        <v>967031.12924243044</v>
      </c>
      <c r="H91" s="5">
        <f t="shared" si="28"/>
        <v>967031.12924243044</v>
      </c>
      <c r="I91" s="5">
        <f t="shared" si="28"/>
        <v>967031.12924243044</v>
      </c>
      <c r="J91" s="5">
        <f t="shared" si="28"/>
        <v>967031.12924243044</v>
      </c>
      <c r="K91" s="5">
        <f t="shared" si="28"/>
        <v>967031.12924243044</v>
      </c>
      <c r="L91" s="5">
        <f t="shared" si="27"/>
        <v>967031.12924243067</v>
      </c>
    </row>
    <row r="92" spans="1:12" x14ac:dyDescent="0.25">
      <c r="A92" s="4" t="s">
        <v>13</v>
      </c>
      <c r="B92" s="5">
        <f t="shared" si="28"/>
        <v>0</v>
      </c>
      <c r="C92" s="5">
        <f t="shared" si="28"/>
        <v>0</v>
      </c>
      <c r="D92" s="5">
        <f t="shared" si="28"/>
        <v>0</v>
      </c>
      <c r="E92" s="5">
        <f t="shared" si="28"/>
        <v>0</v>
      </c>
      <c r="F92" s="5">
        <f t="shared" si="28"/>
        <v>0</v>
      </c>
      <c r="G92" s="5">
        <f t="shared" si="28"/>
        <v>0</v>
      </c>
      <c r="H92" s="5">
        <f t="shared" si="28"/>
        <v>0</v>
      </c>
      <c r="I92" s="5">
        <f t="shared" si="28"/>
        <v>0</v>
      </c>
      <c r="J92" s="5">
        <f t="shared" si="28"/>
        <v>0</v>
      </c>
      <c r="K92" s="5">
        <f t="shared" si="28"/>
        <v>0</v>
      </c>
      <c r="L92" s="5">
        <f t="shared" si="27"/>
        <v>0</v>
      </c>
    </row>
    <row r="93" spans="1:12" x14ac:dyDescent="0.25">
      <c r="A93" s="4" t="s">
        <v>14</v>
      </c>
      <c r="B93" s="5">
        <f t="shared" si="28"/>
        <v>0</v>
      </c>
      <c r="C93" s="5">
        <f t="shared" si="28"/>
        <v>0</v>
      </c>
      <c r="D93" s="5">
        <f t="shared" si="28"/>
        <v>0</v>
      </c>
      <c r="E93" s="5">
        <f t="shared" si="28"/>
        <v>0</v>
      </c>
      <c r="F93" s="5">
        <f t="shared" si="28"/>
        <v>0</v>
      </c>
      <c r="G93" s="5">
        <f t="shared" si="28"/>
        <v>0</v>
      </c>
      <c r="H93" s="5">
        <f t="shared" si="28"/>
        <v>0</v>
      </c>
      <c r="I93" s="5">
        <f t="shared" si="28"/>
        <v>0</v>
      </c>
      <c r="J93" s="5">
        <f t="shared" si="28"/>
        <v>0</v>
      </c>
      <c r="K93" s="5">
        <f t="shared" si="28"/>
        <v>0</v>
      </c>
      <c r="L93" s="5">
        <f t="shared" si="27"/>
        <v>0</v>
      </c>
    </row>
    <row r="94" spans="1:12" x14ac:dyDescent="0.25">
      <c r="A94" s="4" t="s">
        <v>125</v>
      </c>
      <c r="B94" s="5">
        <f t="shared" si="28"/>
        <v>447739.58179952449</v>
      </c>
      <c r="C94" s="5">
        <f t="shared" si="28"/>
        <v>447739.58179952449</v>
      </c>
      <c r="D94" s="5">
        <f t="shared" si="28"/>
        <v>447739.58179952449</v>
      </c>
      <c r="E94" s="5">
        <f t="shared" si="28"/>
        <v>447739.58179952449</v>
      </c>
      <c r="F94" s="5">
        <f t="shared" si="28"/>
        <v>447739.58179952449</v>
      </c>
      <c r="G94" s="5">
        <f t="shared" si="28"/>
        <v>447739.58179952449</v>
      </c>
      <c r="H94" s="5">
        <f t="shared" si="28"/>
        <v>447739.58179952449</v>
      </c>
      <c r="I94" s="5">
        <f t="shared" si="28"/>
        <v>447739.58179952449</v>
      </c>
      <c r="J94" s="5">
        <f t="shared" si="28"/>
        <v>447739.58179952449</v>
      </c>
      <c r="K94" s="5">
        <f t="shared" si="28"/>
        <v>447739.58179952449</v>
      </c>
      <c r="L94" s="5">
        <f t="shared" si="27"/>
        <v>447739.58179952449</v>
      </c>
    </row>
    <row r="95" spans="1:12" x14ac:dyDescent="0.25">
      <c r="A95" s="4" t="s">
        <v>37</v>
      </c>
      <c r="B95" s="5">
        <f t="shared" si="28"/>
        <v>9860702.8088845182</v>
      </c>
      <c r="C95" s="5">
        <f t="shared" si="28"/>
        <v>9860702.8088845182</v>
      </c>
      <c r="D95" s="5">
        <f t="shared" si="28"/>
        <v>9860702.8088845182</v>
      </c>
      <c r="E95" s="5">
        <f t="shared" si="28"/>
        <v>9860702.8088845182</v>
      </c>
      <c r="F95" s="5">
        <f t="shared" si="28"/>
        <v>9860702.8088845182</v>
      </c>
      <c r="G95" s="5">
        <f t="shared" si="28"/>
        <v>9860702.8088845182</v>
      </c>
      <c r="H95" s="5">
        <f t="shared" si="28"/>
        <v>9860702.8088845182</v>
      </c>
      <c r="I95" s="5">
        <f t="shared" si="28"/>
        <v>9860702.8088845182</v>
      </c>
      <c r="J95" s="5">
        <f t="shared" si="28"/>
        <v>9860702.8088845182</v>
      </c>
      <c r="K95" s="5">
        <f t="shared" si="28"/>
        <v>9860702.8088845182</v>
      </c>
      <c r="L95" s="5">
        <f t="shared" si="27"/>
        <v>9860702.8088845182</v>
      </c>
    </row>
    <row r="96" spans="1:12" x14ac:dyDescent="0.25">
      <c r="A96" s="4" t="s">
        <v>38</v>
      </c>
      <c r="B96" s="5">
        <f t="shared" si="28"/>
        <v>124702.84286353573</v>
      </c>
      <c r="C96" s="5">
        <f t="shared" si="28"/>
        <v>124702.84286353573</v>
      </c>
      <c r="D96" s="5">
        <f t="shared" si="28"/>
        <v>124702.84286353573</v>
      </c>
      <c r="E96" s="5">
        <f t="shared" si="28"/>
        <v>124702.84286353573</v>
      </c>
      <c r="F96" s="5">
        <f t="shared" si="28"/>
        <v>124702.84286353573</v>
      </c>
      <c r="G96" s="5">
        <f t="shared" si="28"/>
        <v>124702.84286353573</v>
      </c>
      <c r="H96" s="5">
        <f t="shared" si="28"/>
        <v>124702.84286353573</v>
      </c>
      <c r="I96" s="5">
        <f t="shared" si="28"/>
        <v>124702.84286353573</v>
      </c>
      <c r="J96" s="5">
        <f t="shared" si="28"/>
        <v>124702.84286353573</v>
      </c>
      <c r="K96" s="5">
        <f t="shared" si="28"/>
        <v>124702.84286353573</v>
      </c>
      <c r="L96" s="5">
        <f t="shared" si="27"/>
        <v>124702.84286353571</v>
      </c>
    </row>
    <row r="97" spans="1:12" x14ac:dyDescent="0.25">
      <c r="A97" s="4" t="s">
        <v>15</v>
      </c>
      <c r="B97" s="13">
        <f t="shared" si="28"/>
        <v>6473460.9394181389</v>
      </c>
      <c r="C97" s="13">
        <f t="shared" si="28"/>
        <v>6473460.9394181389</v>
      </c>
      <c r="D97" s="13">
        <f t="shared" si="28"/>
        <v>6473460.9394181389</v>
      </c>
      <c r="E97" s="13">
        <f t="shared" si="28"/>
        <v>6473460.9394181389</v>
      </c>
      <c r="F97" s="13">
        <f t="shared" si="28"/>
        <v>6473460.9394181389</v>
      </c>
      <c r="G97" s="13">
        <f t="shared" si="28"/>
        <v>6473460.9394181389</v>
      </c>
      <c r="H97" s="13">
        <f t="shared" si="28"/>
        <v>6473460.9394181389</v>
      </c>
      <c r="I97" s="13">
        <f t="shared" si="28"/>
        <v>6473460.9394181389</v>
      </c>
      <c r="J97" s="13">
        <f t="shared" si="28"/>
        <v>6473460.9394181389</v>
      </c>
      <c r="K97" s="13">
        <f t="shared" si="28"/>
        <v>6473460.9394181389</v>
      </c>
      <c r="L97" s="5">
        <f t="shared" si="27"/>
        <v>6473460.939418138</v>
      </c>
    </row>
    <row r="98" spans="1:12" x14ac:dyDescent="0.25">
      <c r="B98" s="5">
        <f t="shared" ref="B98:K98" si="29">SUM(B87:B97)</f>
        <v>24379330.23622708</v>
      </c>
      <c r="C98" s="5">
        <f t="shared" si="29"/>
        <v>24379330.23622708</v>
      </c>
      <c r="D98" s="5">
        <f t="shared" si="29"/>
        <v>24379330.23622708</v>
      </c>
      <c r="E98" s="5">
        <f t="shared" si="29"/>
        <v>24379330.23622708</v>
      </c>
      <c r="F98" s="5">
        <f t="shared" si="29"/>
        <v>24379330.23622708</v>
      </c>
      <c r="G98" s="5">
        <f t="shared" si="29"/>
        <v>24379330.23622708</v>
      </c>
      <c r="H98" s="5">
        <f t="shared" si="29"/>
        <v>24379330.23622708</v>
      </c>
      <c r="I98" s="5">
        <f t="shared" si="29"/>
        <v>24379330.23622708</v>
      </c>
      <c r="J98" s="5">
        <f t="shared" si="29"/>
        <v>24379330.23622708</v>
      </c>
      <c r="K98" s="5">
        <f t="shared" si="29"/>
        <v>24379330.23622708</v>
      </c>
      <c r="L98" s="5"/>
    </row>
    <row r="100" spans="1:12" x14ac:dyDescent="0.25">
      <c r="A100" s="21" t="s">
        <v>52</v>
      </c>
      <c r="B100" s="21" t="str">
        <f>'Summary dashboard'!C4</f>
        <v>2023</v>
      </c>
      <c r="C100" s="21">
        <f>B100+1</f>
        <v>2024</v>
      </c>
      <c r="D100" s="21">
        <f t="shared" ref="D100:K100" si="30">C100+1</f>
        <v>2025</v>
      </c>
      <c r="E100" s="21">
        <f t="shared" si="30"/>
        <v>2026</v>
      </c>
      <c r="F100" s="21">
        <f t="shared" si="30"/>
        <v>2027</v>
      </c>
      <c r="G100" s="21">
        <f t="shared" si="30"/>
        <v>2028</v>
      </c>
      <c r="H100" s="21">
        <f t="shared" si="30"/>
        <v>2029</v>
      </c>
      <c r="I100" s="21">
        <f t="shared" si="30"/>
        <v>2030</v>
      </c>
      <c r="J100" s="21">
        <f t="shared" si="30"/>
        <v>2031</v>
      </c>
      <c r="K100" s="21">
        <f t="shared" si="30"/>
        <v>2032</v>
      </c>
    </row>
    <row r="101" spans="1:12" x14ac:dyDescent="0.25">
      <c r="A101" t="s">
        <v>73</v>
      </c>
      <c r="B101" s="16">
        <f>SUM(B87:B97)/SUM(B44:B54)</f>
        <v>0.32672730931446997</v>
      </c>
      <c r="C101" s="16">
        <f t="shared" ref="C101:K101" si="31">SUM(C87:C97)/SUM(C44:C54)</f>
        <v>0.32672730931446997</v>
      </c>
      <c r="D101" s="16">
        <f t="shared" si="31"/>
        <v>0.32672730931446997</v>
      </c>
      <c r="E101" s="16">
        <f t="shared" si="31"/>
        <v>0.32672730931446997</v>
      </c>
      <c r="F101" s="16">
        <f t="shared" si="31"/>
        <v>0.32672730931446997</v>
      </c>
      <c r="G101" s="16">
        <f t="shared" si="31"/>
        <v>0.32672730931446997</v>
      </c>
      <c r="H101" s="16">
        <f t="shared" si="31"/>
        <v>0.32672730931446997</v>
      </c>
      <c r="I101" s="16">
        <f t="shared" si="31"/>
        <v>0.32672730931446997</v>
      </c>
      <c r="J101" s="16">
        <f t="shared" si="31"/>
        <v>0.32672730931446997</v>
      </c>
      <c r="K101" s="16">
        <f t="shared" si="31"/>
        <v>0.32672730931446997</v>
      </c>
    </row>
    <row r="102" spans="1:12" x14ac:dyDescent="0.25">
      <c r="A102" t="s">
        <v>70</v>
      </c>
      <c r="B102" s="16">
        <f>SUM(B84:K84)/SUM($B$55:$K$55)</f>
        <v>0.24135852763495264</v>
      </c>
    </row>
    <row r="103" spans="1:12" x14ac:dyDescent="0.25">
      <c r="A103" t="s">
        <v>71</v>
      </c>
      <c r="B103" s="16">
        <f>SUM(B98:K98)/SUM($B$55:$K$55)</f>
        <v>0.32672730931447008</v>
      </c>
    </row>
    <row r="104" spans="1:12" x14ac:dyDescent="0.25">
      <c r="A104" t="s">
        <v>72</v>
      </c>
      <c r="B104" s="16">
        <f>SUM(B69:K69)/SUM($B$55:$K$55)</f>
        <v>0.41209609099398747</v>
      </c>
    </row>
  </sheetData>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D938B958-FA81-4760-80B9-A0C162C7190F}">
          <x14:formula1>
            <xm:f>Lists!$C$2:$C$7</xm:f>
          </x14:formula1>
          <xm:sqref>A1</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DD591-25E9-436A-8B15-B0340E8B830B}">
  <dimension ref="A1:N104"/>
  <sheetViews>
    <sheetView workbookViewId="0">
      <selection activeCell="A2" sqref="A2"/>
    </sheetView>
  </sheetViews>
  <sheetFormatPr defaultRowHeight="15" x14ac:dyDescent="0.25"/>
  <cols>
    <col min="1" max="1" width="34" customWidth="1"/>
    <col min="2" max="3" width="12.5703125" customWidth="1"/>
    <col min="4" max="4" width="13.85546875" customWidth="1"/>
    <col min="5" max="13" width="12.5703125" customWidth="1"/>
    <col min="14" max="14" width="12.140625" bestFit="1" customWidth="1"/>
  </cols>
  <sheetData>
    <row r="1" spans="1:11" s="3" customFormat="1" x14ac:dyDescent="0.25">
      <c r="A1" s="2" t="s">
        <v>34</v>
      </c>
    </row>
    <row r="2" spans="1:11" x14ac:dyDescent="0.25">
      <c r="A2" t="s">
        <v>19</v>
      </c>
      <c r="B2" s="12" t="str">
        <f>'Summary dashboard'!C4</f>
        <v>2023</v>
      </c>
      <c r="C2" s="12">
        <f>B2+1</f>
        <v>2024</v>
      </c>
      <c r="D2" s="12">
        <f t="shared" ref="D2:K2" si="0">C2+1</f>
        <v>2025</v>
      </c>
      <c r="E2" s="12">
        <f t="shared" si="0"/>
        <v>2026</v>
      </c>
      <c r="F2" s="12">
        <f t="shared" si="0"/>
        <v>2027</v>
      </c>
      <c r="G2" s="12">
        <f t="shared" si="0"/>
        <v>2028</v>
      </c>
      <c r="H2" s="12">
        <f t="shared" si="0"/>
        <v>2029</v>
      </c>
      <c r="I2" s="12">
        <f t="shared" si="0"/>
        <v>2030</v>
      </c>
      <c r="J2" s="12">
        <f t="shared" si="0"/>
        <v>2031</v>
      </c>
      <c r="K2" s="12">
        <f t="shared" si="0"/>
        <v>2032</v>
      </c>
    </row>
    <row r="3" spans="1:11" x14ac:dyDescent="0.25">
      <c r="A3" s="4" t="s">
        <v>35</v>
      </c>
      <c r="B3">
        <f>INDEX('CMA function inputs'!$B$17:$L$22,MATCH($A$1,'CMA function inputs'!$A$17:$A$22,0),MATCH(A3,'CMA function inputs'!$B$16:$L$16,0))</f>
        <v>1</v>
      </c>
      <c r="C3">
        <f>IF($B3=1,1,IF(INDEX('CMA function inputs'!$B$25:$L$30,MATCH('Breede-Olifants CMA'!$A$1,'CMA function inputs'!$A$25:$A$30,0),MATCH('Breede-Olifants CMA'!$A3,'CMA function inputs'!$B$24:$L$24,0))&lt;=C$2,1,0))</f>
        <v>1</v>
      </c>
      <c r="D3">
        <f>IF($B3=1,1,IF(INDEX('CMA function inputs'!$B$25:$L$30,MATCH('Breede-Olifants CMA'!$A$1,'CMA function inputs'!$A$25:$A$30,0),MATCH('Breede-Olifants CMA'!$A3,'CMA function inputs'!$B$24:$L$24,0))&lt;=D$2,1,0))</f>
        <v>1</v>
      </c>
      <c r="E3">
        <f>IF($B3=1,1,IF(INDEX('CMA function inputs'!$B$25:$L$30,MATCH('Breede-Olifants CMA'!$A$1,'CMA function inputs'!$A$25:$A$30,0),MATCH('Breede-Olifants CMA'!$A3,'CMA function inputs'!$B$24:$L$24,0))&lt;=E$2,1,0))</f>
        <v>1</v>
      </c>
      <c r="F3">
        <f>IF($B3=1,1,IF(INDEX('CMA function inputs'!$B$25:$L$30,MATCH('Breede-Olifants CMA'!$A$1,'CMA function inputs'!$A$25:$A$30,0),MATCH('Breede-Olifants CMA'!$A3,'CMA function inputs'!$B$24:$L$24,0))&lt;=F$2,1,0))</f>
        <v>1</v>
      </c>
      <c r="G3">
        <f>IF($B3=1,1,IF(INDEX('CMA function inputs'!$B$25:$L$30,MATCH('Breede-Olifants CMA'!$A$1,'CMA function inputs'!$A$25:$A$30,0),MATCH('Breede-Olifants CMA'!$A3,'CMA function inputs'!$B$24:$L$24,0))&lt;=G$2,1,0))</f>
        <v>1</v>
      </c>
      <c r="H3">
        <f>IF($B3=1,1,IF(INDEX('CMA function inputs'!$B$25:$L$30,MATCH('Breede-Olifants CMA'!$A$1,'CMA function inputs'!$A$25:$A$30,0),MATCH('Breede-Olifants CMA'!$A3,'CMA function inputs'!$B$24:$L$24,0))&lt;=H$2,1,0))</f>
        <v>1</v>
      </c>
      <c r="I3">
        <f>IF($B3=1,1,IF(INDEX('CMA function inputs'!$B$25:$L$30,MATCH('Breede-Olifants CMA'!$A$1,'CMA function inputs'!$A$25:$A$30,0),MATCH('Breede-Olifants CMA'!$A3,'CMA function inputs'!$B$24:$L$24,0))&lt;=I$2,1,0))</f>
        <v>1</v>
      </c>
      <c r="J3">
        <f>IF($B3=1,1,IF(INDEX('CMA function inputs'!$B$25:$L$30,MATCH('Breede-Olifants CMA'!$A$1,'CMA function inputs'!$A$25:$A$30,0),MATCH('Breede-Olifants CMA'!$A3,'CMA function inputs'!$B$24:$L$24,0))&lt;=J$2,1,0))</f>
        <v>1</v>
      </c>
      <c r="K3">
        <f>IF($B3=1,1,IF(INDEX('CMA function inputs'!$B$25:$L$30,MATCH('Breede-Olifants CMA'!$A$1,'CMA function inputs'!$A$25:$A$30,0),MATCH('Breede-Olifants CMA'!$A3,'CMA function inputs'!$B$24:$L$24,0))&lt;=K$2,1,0))</f>
        <v>1</v>
      </c>
    </row>
    <row r="4" spans="1:11" x14ac:dyDescent="0.25">
      <c r="A4" s="4" t="s">
        <v>36</v>
      </c>
      <c r="B4">
        <f>INDEX('CMA function inputs'!$B$17:$L$22,MATCH($A$1,'CMA function inputs'!$A$17:$A$22,0),MATCH(A4,'CMA function inputs'!$B$16:$L$16,0))</f>
        <v>1</v>
      </c>
      <c r="C4">
        <f>IF($B4=1,1,IF(INDEX('CMA function inputs'!$B$25:$L$30,MATCH('Breede-Olifants CMA'!$A$1,'CMA function inputs'!$A$25:$A$30,0),MATCH('Breede-Olifants CMA'!$A4,'CMA function inputs'!$B$24:$L$24,0))&lt;=C$2,1,0))</f>
        <v>1</v>
      </c>
      <c r="D4">
        <f>IF($B4=1,1,IF(INDEX('CMA function inputs'!$B$25:$L$30,MATCH('Breede-Olifants CMA'!$A$1,'CMA function inputs'!$A$25:$A$30,0),MATCH('Breede-Olifants CMA'!$A4,'CMA function inputs'!$B$24:$L$24,0))&lt;=D$2,1,0))</f>
        <v>1</v>
      </c>
      <c r="E4">
        <f>IF($B4=1,1,IF(INDEX('CMA function inputs'!$B$25:$L$30,MATCH('Breede-Olifants CMA'!$A$1,'CMA function inputs'!$A$25:$A$30,0),MATCH('Breede-Olifants CMA'!$A4,'CMA function inputs'!$B$24:$L$24,0))&lt;=E$2,1,0))</f>
        <v>1</v>
      </c>
      <c r="F4">
        <f>IF($B4=1,1,IF(INDEX('CMA function inputs'!$B$25:$L$30,MATCH('Breede-Olifants CMA'!$A$1,'CMA function inputs'!$A$25:$A$30,0),MATCH('Breede-Olifants CMA'!$A4,'CMA function inputs'!$B$24:$L$24,0))&lt;=F$2,1,0))</f>
        <v>1</v>
      </c>
      <c r="G4">
        <f>IF($B4=1,1,IF(INDEX('CMA function inputs'!$B$25:$L$30,MATCH('Breede-Olifants CMA'!$A$1,'CMA function inputs'!$A$25:$A$30,0),MATCH('Breede-Olifants CMA'!$A4,'CMA function inputs'!$B$24:$L$24,0))&lt;=G$2,1,0))</f>
        <v>1</v>
      </c>
      <c r="H4">
        <f>IF($B4=1,1,IF(INDEX('CMA function inputs'!$B$25:$L$30,MATCH('Breede-Olifants CMA'!$A$1,'CMA function inputs'!$A$25:$A$30,0),MATCH('Breede-Olifants CMA'!$A4,'CMA function inputs'!$B$24:$L$24,0))&lt;=H$2,1,0))</f>
        <v>1</v>
      </c>
      <c r="I4">
        <f>IF($B4=1,1,IF(INDEX('CMA function inputs'!$B$25:$L$30,MATCH('Breede-Olifants CMA'!$A$1,'CMA function inputs'!$A$25:$A$30,0),MATCH('Breede-Olifants CMA'!$A4,'CMA function inputs'!$B$24:$L$24,0))&lt;=I$2,1,0))</f>
        <v>1</v>
      </c>
      <c r="J4">
        <f>IF($B4=1,1,IF(INDEX('CMA function inputs'!$B$25:$L$30,MATCH('Breede-Olifants CMA'!$A$1,'CMA function inputs'!$A$25:$A$30,0),MATCH('Breede-Olifants CMA'!$A4,'CMA function inputs'!$B$24:$L$24,0))&lt;=J$2,1,0))</f>
        <v>1</v>
      </c>
      <c r="K4">
        <f>IF($B4=1,1,IF(INDEX('CMA function inputs'!$B$25:$L$30,MATCH('Breede-Olifants CMA'!$A$1,'CMA function inputs'!$A$25:$A$30,0),MATCH('Breede-Olifants CMA'!$A4,'CMA function inputs'!$B$24:$L$24,0))&lt;=K$2,1,0))</f>
        <v>1</v>
      </c>
    </row>
    <row r="5" spans="1:11" x14ac:dyDescent="0.25">
      <c r="A5" s="4" t="s">
        <v>11</v>
      </c>
      <c r="B5">
        <f>INDEX('CMA function inputs'!$B$17:$L$22,MATCH($A$1,'CMA function inputs'!$A$17:$A$22,0),MATCH(A5,'CMA function inputs'!$B$16:$L$16,0))</f>
        <v>1</v>
      </c>
      <c r="C5">
        <f>IF($B5=1,1,IF(INDEX('CMA function inputs'!$B$25:$L$30,MATCH('Breede-Olifants CMA'!$A$1,'CMA function inputs'!$A$25:$A$30,0),MATCH('Breede-Olifants CMA'!$A5,'CMA function inputs'!$B$24:$L$24,0))&lt;=C$2,1,0))</f>
        <v>1</v>
      </c>
      <c r="D5">
        <f>IF($B5=1,1,IF(INDEX('CMA function inputs'!$B$25:$L$30,MATCH('Breede-Olifants CMA'!$A$1,'CMA function inputs'!$A$25:$A$30,0),MATCH('Breede-Olifants CMA'!$A5,'CMA function inputs'!$B$24:$L$24,0))&lt;=D$2,1,0))</f>
        <v>1</v>
      </c>
      <c r="E5">
        <f>IF($B5=1,1,IF(INDEX('CMA function inputs'!$B$25:$L$30,MATCH('Breede-Olifants CMA'!$A$1,'CMA function inputs'!$A$25:$A$30,0),MATCH('Breede-Olifants CMA'!$A5,'CMA function inputs'!$B$24:$L$24,0))&lt;=E$2,1,0))</f>
        <v>1</v>
      </c>
      <c r="F5">
        <f>IF($B5=1,1,IF(INDEX('CMA function inputs'!$B$25:$L$30,MATCH('Breede-Olifants CMA'!$A$1,'CMA function inputs'!$A$25:$A$30,0),MATCH('Breede-Olifants CMA'!$A5,'CMA function inputs'!$B$24:$L$24,0))&lt;=F$2,1,0))</f>
        <v>1</v>
      </c>
      <c r="G5">
        <f>IF($B5=1,1,IF(INDEX('CMA function inputs'!$B$25:$L$30,MATCH('Breede-Olifants CMA'!$A$1,'CMA function inputs'!$A$25:$A$30,0),MATCH('Breede-Olifants CMA'!$A5,'CMA function inputs'!$B$24:$L$24,0))&lt;=G$2,1,0))</f>
        <v>1</v>
      </c>
      <c r="H5">
        <f>IF($B5=1,1,IF(INDEX('CMA function inputs'!$B$25:$L$30,MATCH('Breede-Olifants CMA'!$A$1,'CMA function inputs'!$A$25:$A$30,0),MATCH('Breede-Olifants CMA'!$A5,'CMA function inputs'!$B$24:$L$24,0))&lt;=H$2,1,0))</f>
        <v>1</v>
      </c>
      <c r="I5">
        <f>IF($B5=1,1,IF(INDEX('CMA function inputs'!$B$25:$L$30,MATCH('Breede-Olifants CMA'!$A$1,'CMA function inputs'!$A$25:$A$30,0),MATCH('Breede-Olifants CMA'!$A5,'CMA function inputs'!$B$24:$L$24,0))&lt;=I$2,1,0))</f>
        <v>1</v>
      </c>
      <c r="J5">
        <f>IF($B5=1,1,IF(INDEX('CMA function inputs'!$B$25:$L$30,MATCH('Breede-Olifants CMA'!$A$1,'CMA function inputs'!$A$25:$A$30,0),MATCH('Breede-Olifants CMA'!$A5,'CMA function inputs'!$B$24:$L$24,0))&lt;=J$2,1,0))</f>
        <v>1</v>
      </c>
      <c r="K5">
        <f>IF($B5=1,1,IF(INDEX('CMA function inputs'!$B$25:$L$30,MATCH('Breede-Olifants CMA'!$A$1,'CMA function inputs'!$A$25:$A$30,0),MATCH('Breede-Olifants CMA'!$A5,'CMA function inputs'!$B$24:$L$24,0))&lt;=K$2,1,0))</f>
        <v>1</v>
      </c>
    </row>
    <row r="6" spans="1:11" x14ac:dyDescent="0.25">
      <c r="A6" s="4" t="s">
        <v>124</v>
      </c>
      <c r="B6">
        <f>INDEX('CMA function inputs'!$B$17:$L$22,MATCH($A$1,'CMA function inputs'!$A$17:$A$22,0),MATCH(A6,'CMA function inputs'!$B$16:$L$16,0))</f>
        <v>1</v>
      </c>
      <c r="C6">
        <f>IF($B6=1,1,IF(INDEX('CMA function inputs'!$B$25:$L$30,MATCH('Breede-Olifants CMA'!$A$1,'CMA function inputs'!$A$25:$A$30,0),MATCH('Breede-Olifants CMA'!$A6,'CMA function inputs'!$B$24:$L$24,0))&lt;=C$2,1,0))</f>
        <v>1</v>
      </c>
      <c r="D6">
        <f>IF($B6=1,1,IF(INDEX('CMA function inputs'!$B$25:$L$30,MATCH('Breede-Olifants CMA'!$A$1,'CMA function inputs'!$A$25:$A$30,0),MATCH('Breede-Olifants CMA'!$A6,'CMA function inputs'!$B$24:$L$24,0))&lt;=D$2,1,0))</f>
        <v>1</v>
      </c>
      <c r="E6">
        <f>IF($B6=1,1,IF(INDEX('CMA function inputs'!$B$25:$L$30,MATCH('Breede-Olifants CMA'!$A$1,'CMA function inputs'!$A$25:$A$30,0),MATCH('Breede-Olifants CMA'!$A6,'CMA function inputs'!$B$24:$L$24,0))&lt;=E$2,1,0))</f>
        <v>1</v>
      </c>
      <c r="F6">
        <f>IF($B6=1,1,IF(INDEX('CMA function inputs'!$B$25:$L$30,MATCH('Breede-Olifants CMA'!$A$1,'CMA function inputs'!$A$25:$A$30,0),MATCH('Breede-Olifants CMA'!$A6,'CMA function inputs'!$B$24:$L$24,0))&lt;=F$2,1,0))</f>
        <v>1</v>
      </c>
      <c r="G6">
        <f>IF($B6=1,1,IF(INDEX('CMA function inputs'!$B$25:$L$30,MATCH('Breede-Olifants CMA'!$A$1,'CMA function inputs'!$A$25:$A$30,0),MATCH('Breede-Olifants CMA'!$A6,'CMA function inputs'!$B$24:$L$24,0))&lt;=G$2,1,0))</f>
        <v>1</v>
      </c>
      <c r="H6">
        <f>IF($B6=1,1,IF(INDEX('CMA function inputs'!$B$25:$L$30,MATCH('Breede-Olifants CMA'!$A$1,'CMA function inputs'!$A$25:$A$30,0),MATCH('Breede-Olifants CMA'!$A6,'CMA function inputs'!$B$24:$L$24,0))&lt;=H$2,1,0))</f>
        <v>1</v>
      </c>
      <c r="I6">
        <f>IF($B6=1,1,IF(INDEX('CMA function inputs'!$B$25:$L$30,MATCH('Breede-Olifants CMA'!$A$1,'CMA function inputs'!$A$25:$A$30,0),MATCH('Breede-Olifants CMA'!$A6,'CMA function inputs'!$B$24:$L$24,0))&lt;=I$2,1,0))</f>
        <v>1</v>
      </c>
      <c r="J6">
        <f>IF($B6=1,1,IF(INDEX('CMA function inputs'!$B$25:$L$30,MATCH('Breede-Olifants CMA'!$A$1,'CMA function inputs'!$A$25:$A$30,0),MATCH('Breede-Olifants CMA'!$A6,'CMA function inputs'!$B$24:$L$24,0))&lt;=J$2,1,0))</f>
        <v>1</v>
      </c>
      <c r="K6">
        <f>IF($B6=1,1,IF(INDEX('CMA function inputs'!$B$25:$L$30,MATCH('Breede-Olifants CMA'!$A$1,'CMA function inputs'!$A$25:$A$30,0),MATCH('Breede-Olifants CMA'!$A6,'CMA function inputs'!$B$24:$L$24,0))&lt;=K$2,1,0))</f>
        <v>1</v>
      </c>
    </row>
    <row r="7" spans="1:11" x14ac:dyDescent="0.25">
      <c r="A7" s="4" t="s">
        <v>12</v>
      </c>
      <c r="B7">
        <f>INDEX('CMA function inputs'!$B$17:$L$22,MATCH($A$1,'CMA function inputs'!$A$17:$A$22,0),MATCH(A7,'CMA function inputs'!$B$16:$L$16,0))</f>
        <v>1</v>
      </c>
      <c r="C7">
        <f>IF($B7=1,1,IF(INDEX('CMA function inputs'!$B$25:$L$30,MATCH('Breede-Olifants CMA'!$A$1,'CMA function inputs'!$A$25:$A$30,0),MATCH('Breede-Olifants CMA'!$A7,'CMA function inputs'!$B$24:$L$24,0))&lt;=C$2,1,0))</f>
        <v>1</v>
      </c>
      <c r="D7">
        <f>IF($B7=1,1,IF(INDEX('CMA function inputs'!$B$25:$L$30,MATCH('Breede-Olifants CMA'!$A$1,'CMA function inputs'!$A$25:$A$30,0),MATCH('Breede-Olifants CMA'!$A7,'CMA function inputs'!$B$24:$L$24,0))&lt;=D$2,1,0))</f>
        <v>1</v>
      </c>
      <c r="E7">
        <f>IF($B7=1,1,IF(INDEX('CMA function inputs'!$B$25:$L$30,MATCH('Breede-Olifants CMA'!$A$1,'CMA function inputs'!$A$25:$A$30,0),MATCH('Breede-Olifants CMA'!$A7,'CMA function inputs'!$B$24:$L$24,0))&lt;=E$2,1,0))</f>
        <v>1</v>
      </c>
      <c r="F7">
        <f>IF($B7=1,1,IF(INDEX('CMA function inputs'!$B$25:$L$30,MATCH('Breede-Olifants CMA'!$A$1,'CMA function inputs'!$A$25:$A$30,0),MATCH('Breede-Olifants CMA'!$A7,'CMA function inputs'!$B$24:$L$24,0))&lt;=F$2,1,0))</f>
        <v>1</v>
      </c>
      <c r="G7">
        <f>IF($B7=1,1,IF(INDEX('CMA function inputs'!$B$25:$L$30,MATCH('Breede-Olifants CMA'!$A$1,'CMA function inputs'!$A$25:$A$30,0),MATCH('Breede-Olifants CMA'!$A7,'CMA function inputs'!$B$24:$L$24,0))&lt;=G$2,1,0))</f>
        <v>1</v>
      </c>
      <c r="H7">
        <f>IF($B7=1,1,IF(INDEX('CMA function inputs'!$B$25:$L$30,MATCH('Breede-Olifants CMA'!$A$1,'CMA function inputs'!$A$25:$A$30,0),MATCH('Breede-Olifants CMA'!$A7,'CMA function inputs'!$B$24:$L$24,0))&lt;=H$2,1,0))</f>
        <v>1</v>
      </c>
      <c r="I7">
        <f>IF($B7=1,1,IF(INDEX('CMA function inputs'!$B$25:$L$30,MATCH('Breede-Olifants CMA'!$A$1,'CMA function inputs'!$A$25:$A$30,0),MATCH('Breede-Olifants CMA'!$A7,'CMA function inputs'!$B$24:$L$24,0))&lt;=I$2,1,0))</f>
        <v>1</v>
      </c>
      <c r="J7">
        <f>IF($B7=1,1,IF(INDEX('CMA function inputs'!$B$25:$L$30,MATCH('Breede-Olifants CMA'!$A$1,'CMA function inputs'!$A$25:$A$30,0),MATCH('Breede-Olifants CMA'!$A7,'CMA function inputs'!$B$24:$L$24,0))&lt;=J$2,1,0))</f>
        <v>1</v>
      </c>
      <c r="K7">
        <f>IF($B7=1,1,IF(INDEX('CMA function inputs'!$B$25:$L$30,MATCH('Breede-Olifants CMA'!$A$1,'CMA function inputs'!$A$25:$A$30,0),MATCH('Breede-Olifants CMA'!$A7,'CMA function inputs'!$B$24:$L$24,0))&lt;=K$2,1,0))</f>
        <v>1</v>
      </c>
    </row>
    <row r="8" spans="1:11" x14ac:dyDescent="0.25">
      <c r="A8" s="4" t="s">
        <v>13</v>
      </c>
      <c r="B8">
        <f>INDEX('CMA function inputs'!$B$17:$L$22,MATCH($A$1,'CMA function inputs'!$A$17:$A$22,0),MATCH(A8,'CMA function inputs'!$B$16:$L$16,0))</f>
        <v>1</v>
      </c>
      <c r="C8">
        <f>IF($B8=1,1,IF(INDEX('CMA function inputs'!$B$25:$L$30,MATCH('Breede-Olifants CMA'!$A$1,'CMA function inputs'!$A$25:$A$30,0),MATCH('Breede-Olifants CMA'!$A8,'CMA function inputs'!$B$24:$L$24,0))&lt;=C$2,1,0))</f>
        <v>1</v>
      </c>
      <c r="D8">
        <f>IF($B8=1,1,IF(INDEX('CMA function inputs'!$B$25:$L$30,MATCH('Breede-Olifants CMA'!$A$1,'CMA function inputs'!$A$25:$A$30,0),MATCH('Breede-Olifants CMA'!$A8,'CMA function inputs'!$B$24:$L$24,0))&lt;=D$2,1,0))</f>
        <v>1</v>
      </c>
      <c r="E8">
        <f>IF($B8=1,1,IF(INDEX('CMA function inputs'!$B$25:$L$30,MATCH('Breede-Olifants CMA'!$A$1,'CMA function inputs'!$A$25:$A$30,0),MATCH('Breede-Olifants CMA'!$A8,'CMA function inputs'!$B$24:$L$24,0))&lt;=E$2,1,0))</f>
        <v>1</v>
      </c>
      <c r="F8">
        <f>IF($B8=1,1,IF(INDEX('CMA function inputs'!$B$25:$L$30,MATCH('Breede-Olifants CMA'!$A$1,'CMA function inputs'!$A$25:$A$30,0),MATCH('Breede-Olifants CMA'!$A8,'CMA function inputs'!$B$24:$L$24,0))&lt;=F$2,1,0))</f>
        <v>1</v>
      </c>
      <c r="G8">
        <f>IF($B8=1,1,IF(INDEX('CMA function inputs'!$B$25:$L$30,MATCH('Breede-Olifants CMA'!$A$1,'CMA function inputs'!$A$25:$A$30,0),MATCH('Breede-Olifants CMA'!$A8,'CMA function inputs'!$B$24:$L$24,0))&lt;=G$2,1,0))</f>
        <v>1</v>
      </c>
      <c r="H8">
        <f>IF($B8=1,1,IF(INDEX('CMA function inputs'!$B$25:$L$30,MATCH('Breede-Olifants CMA'!$A$1,'CMA function inputs'!$A$25:$A$30,0),MATCH('Breede-Olifants CMA'!$A8,'CMA function inputs'!$B$24:$L$24,0))&lt;=H$2,1,0))</f>
        <v>1</v>
      </c>
      <c r="I8">
        <f>IF($B8=1,1,IF(INDEX('CMA function inputs'!$B$25:$L$30,MATCH('Breede-Olifants CMA'!$A$1,'CMA function inputs'!$A$25:$A$30,0),MATCH('Breede-Olifants CMA'!$A8,'CMA function inputs'!$B$24:$L$24,0))&lt;=I$2,1,0))</f>
        <v>1</v>
      </c>
      <c r="J8">
        <f>IF($B8=1,1,IF(INDEX('CMA function inputs'!$B$25:$L$30,MATCH('Breede-Olifants CMA'!$A$1,'CMA function inputs'!$A$25:$A$30,0),MATCH('Breede-Olifants CMA'!$A8,'CMA function inputs'!$B$24:$L$24,0))&lt;=J$2,1,0))</f>
        <v>1</v>
      </c>
      <c r="K8">
        <f>IF($B8=1,1,IF(INDEX('CMA function inputs'!$B$25:$L$30,MATCH('Breede-Olifants CMA'!$A$1,'CMA function inputs'!$A$25:$A$30,0),MATCH('Breede-Olifants CMA'!$A8,'CMA function inputs'!$B$24:$L$24,0))&lt;=K$2,1,0))</f>
        <v>1</v>
      </c>
    </row>
    <row r="9" spans="1:11" x14ac:dyDescent="0.25">
      <c r="A9" s="4" t="s">
        <v>14</v>
      </c>
      <c r="B9">
        <f>INDEX('CMA function inputs'!$B$17:$L$22,MATCH($A$1,'CMA function inputs'!$A$17:$A$22,0),MATCH(A9,'CMA function inputs'!$B$16:$L$16,0))</f>
        <v>1</v>
      </c>
      <c r="C9">
        <f>IF($B9=1,1,IF(INDEX('CMA function inputs'!$B$25:$L$30,MATCH('Breede-Olifants CMA'!$A$1,'CMA function inputs'!$A$25:$A$30,0),MATCH('Breede-Olifants CMA'!$A9,'CMA function inputs'!$B$24:$L$24,0))&lt;=C$2,1,0))</f>
        <v>1</v>
      </c>
      <c r="D9">
        <f>IF($B9=1,1,IF(INDEX('CMA function inputs'!$B$25:$L$30,MATCH('Breede-Olifants CMA'!$A$1,'CMA function inputs'!$A$25:$A$30,0),MATCH('Breede-Olifants CMA'!$A9,'CMA function inputs'!$B$24:$L$24,0))&lt;=D$2,1,0))</f>
        <v>1</v>
      </c>
      <c r="E9">
        <f>IF($B9=1,1,IF(INDEX('CMA function inputs'!$B$25:$L$30,MATCH('Breede-Olifants CMA'!$A$1,'CMA function inputs'!$A$25:$A$30,0),MATCH('Breede-Olifants CMA'!$A9,'CMA function inputs'!$B$24:$L$24,0))&lt;=E$2,1,0))</f>
        <v>1</v>
      </c>
      <c r="F9">
        <f>IF($B9=1,1,IF(INDEX('CMA function inputs'!$B$25:$L$30,MATCH('Breede-Olifants CMA'!$A$1,'CMA function inputs'!$A$25:$A$30,0),MATCH('Breede-Olifants CMA'!$A9,'CMA function inputs'!$B$24:$L$24,0))&lt;=F$2,1,0))</f>
        <v>1</v>
      </c>
      <c r="G9">
        <f>IF($B9=1,1,IF(INDEX('CMA function inputs'!$B$25:$L$30,MATCH('Breede-Olifants CMA'!$A$1,'CMA function inputs'!$A$25:$A$30,0),MATCH('Breede-Olifants CMA'!$A9,'CMA function inputs'!$B$24:$L$24,0))&lt;=G$2,1,0))</f>
        <v>1</v>
      </c>
      <c r="H9">
        <f>IF($B9=1,1,IF(INDEX('CMA function inputs'!$B$25:$L$30,MATCH('Breede-Olifants CMA'!$A$1,'CMA function inputs'!$A$25:$A$30,0),MATCH('Breede-Olifants CMA'!$A9,'CMA function inputs'!$B$24:$L$24,0))&lt;=H$2,1,0))</f>
        <v>1</v>
      </c>
      <c r="I9">
        <f>IF($B9=1,1,IF(INDEX('CMA function inputs'!$B$25:$L$30,MATCH('Breede-Olifants CMA'!$A$1,'CMA function inputs'!$A$25:$A$30,0),MATCH('Breede-Olifants CMA'!$A9,'CMA function inputs'!$B$24:$L$24,0))&lt;=I$2,1,0))</f>
        <v>1</v>
      </c>
      <c r="J9">
        <f>IF($B9=1,1,IF(INDEX('CMA function inputs'!$B$25:$L$30,MATCH('Breede-Olifants CMA'!$A$1,'CMA function inputs'!$A$25:$A$30,0),MATCH('Breede-Olifants CMA'!$A9,'CMA function inputs'!$B$24:$L$24,0))&lt;=J$2,1,0))</f>
        <v>1</v>
      </c>
      <c r="K9">
        <f>IF($B9=1,1,IF(INDEX('CMA function inputs'!$B$25:$L$30,MATCH('Breede-Olifants CMA'!$A$1,'CMA function inputs'!$A$25:$A$30,0),MATCH('Breede-Olifants CMA'!$A9,'CMA function inputs'!$B$24:$L$24,0))&lt;=K$2,1,0))</f>
        <v>1</v>
      </c>
    </row>
    <row r="10" spans="1:11" x14ac:dyDescent="0.25">
      <c r="A10" s="4" t="s">
        <v>125</v>
      </c>
      <c r="B10">
        <f>INDEX('CMA function inputs'!$B$17:$L$22,MATCH($A$1,'CMA function inputs'!$A$17:$A$22,0),MATCH(A10,'CMA function inputs'!$B$16:$L$16,0))</f>
        <v>1</v>
      </c>
      <c r="C10">
        <f>IF($B10=1,1,IF(INDEX('CMA function inputs'!$B$25:$L$30,MATCH('Breede-Olifants CMA'!$A$1,'CMA function inputs'!$A$25:$A$30,0),MATCH('Breede-Olifants CMA'!$A10,'CMA function inputs'!$B$24:$L$24,0))&lt;=C$2,1,0))</f>
        <v>1</v>
      </c>
      <c r="D10">
        <f>IF($B10=1,1,IF(INDEX('CMA function inputs'!$B$25:$L$30,MATCH('Breede-Olifants CMA'!$A$1,'CMA function inputs'!$A$25:$A$30,0),MATCH('Breede-Olifants CMA'!$A10,'CMA function inputs'!$B$24:$L$24,0))&lt;=D$2,1,0))</f>
        <v>1</v>
      </c>
      <c r="E10">
        <f>IF($B10=1,1,IF(INDEX('CMA function inputs'!$B$25:$L$30,MATCH('Breede-Olifants CMA'!$A$1,'CMA function inputs'!$A$25:$A$30,0),MATCH('Breede-Olifants CMA'!$A10,'CMA function inputs'!$B$24:$L$24,0))&lt;=E$2,1,0))</f>
        <v>1</v>
      </c>
      <c r="F10">
        <f>IF($B10=1,1,IF(INDEX('CMA function inputs'!$B$25:$L$30,MATCH('Breede-Olifants CMA'!$A$1,'CMA function inputs'!$A$25:$A$30,0),MATCH('Breede-Olifants CMA'!$A10,'CMA function inputs'!$B$24:$L$24,0))&lt;=F$2,1,0))</f>
        <v>1</v>
      </c>
      <c r="G10">
        <f>IF($B10=1,1,IF(INDEX('CMA function inputs'!$B$25:$L$30,MATCH('Breede-Olifants CMA'!$A$1,'CMA function inputs'!$A$25:$A$30,0),MATCH('Breede-Olifants CMA'!$A10,'CMA function inputs'!$B$24:$L$24,0))&lt;=G$2,1,0))</f>
        <v>1</v>
      </c>
      <c r="H10">
        <f>IF($B10=1,1,IF(INDEX('CMA function inputs'!$B$25:$L$30,MATCH('Breede-Olifants CMA'!$A$1,'CMA function inputs'!$A$25:$A$30,0),MATCH('Breede-Olifants CMA'!$A10,'CMA function inputs'!$B$24:$L$24,0))&lt;=H$2,1,0))</f>
        <v>1</v>
      </c>
      <c r="I10">
        <f>IF($B10=1,1,IF(INDEX('CMA function inputs'!$B$25:$L$30,MATCH('Breede-Olifants CMA'!$A$1,'CMA function inputs'!$A$25:$A$30,0),MATCH('Breede-Olifants CMA'!$A10,'CMA function inputs'!$B$24:$L$24,0))&lt;=I$2,1,0))</f>
        <v>1</v>
      </c>
      <c r="J10">
        <f>IF($B10=1,1,IF(INDEX('CMA function inputs'!$B$25:$L$30,MATCH('Breede-Olifants CMA'!$A$1,'CMA function inputs'!$A$25:$A$30,0),MATCH('Breede-Olifants CMA'!$A10,'CMA function inputs'!$B$24:$L$24,0))&lt;=J$2,1,0))</f>
        <v>1</v>
      </c>
      <c r="K10">
        <f>IF($B10=1,1,IF(INDEX('CMA function inputs'!$B$25:$L$30,MATCH('Breede-Olifants CMA'!$A$1,'CMA function inputs'!$A$25:$A$30,0),MATCH('Breede-Olifants CMA'!$A10,'CMA function inputs'!$B$24:$L$24,0))&lt;=K$2,1,0))</f>
        <v>1</v>
      </c>
    </row>
    <row r="11" spans="1:11" x14ac:dyDescent="0.25">
      <c r="A11" s="4" t="s">
        <v>37</v>
      </c>
      <c r="B11">
        <f>INDEX('CMA function inputs'!$B$17:$L$22,MATCH($A$1,'CMA function inputs'!$A$17:$A$22,0),MATCH(A11,'CMA function inputs'!$B$16:$L$16,0))</f>
        <v>1</v>
      </c>
      <c r="C11">
        <f>IF($B11=1,1,IF(INDEX('CMA function inputs'!$B$25:$L$30,MATCH('Breede-Olifants CMA'!$A$1,'CMA function inputs'!$A$25:$A$30,0),MATCH('Breede-Olifants CMA'!$A11,'CMA function inputs'!$B$24:$L$24,0))&lt;=C$2,1,0))</f>
        <v>1</v>
      </c>
      <c r="D11">
        <f>IF($B11=1,1,IF(INDEX('CMA function inputs'!$B$25:$L$30,MATCH('Breede-Olifants CMA'!$A$1,'CMA function inputs'!$A$25:$A$30,0),MATCH('Breede-Olifants CMA'!$A11,'CMA function inputs'!$B$24:$L$24,0))&lt;=D$2,1,0))</f>
        <v>1</v>
      </c>
      <c r="E11">
        <f>IF($B11=1,1,IF(INDEX('CMA function inputs'!$B$25:$L$30,MATCH('Breede-Olifants CMA'!$A$1,'CMA function inputs'!$A$25:$A$30,0),MATCH('Breede-Olifants CMA'!$A11,'CMA function inputs'!$B$24:$L$24,0))&lt;=E$2,1,0))</f>
        <v>1</v>
      </c>
      <c r="F11">
        <f>IF($B11=1,1,IF(INDEX('CMA function inputs'!$B$25:$L$30,MATCH('Breede-Olifants CMA'!$A$1,'CMA function inputs'!$A$25:$A$30,0),MATCH('Breede-Olifants CMA'!$A11,'CMA function inputs'!$B$24:$L$24,0))&lt;=F$2,1,0))</f>
        <v>1</v>
      </c>
      <c r="G11">
        <f>IF($B11=1,1,IF(INDEX('CMA function inputs'!$B$25:$L$30,MATCH('Breede-Olifants CMA'!$A$1,'CMA function inputs'!$A$25:$A$30,0),MATCH('Breede-Olifants CMA'!$A11,'CMA function inputs'!$B$24:$L$24,0))&lt;=G$2,1,0))</f>
        <v>1</v>
      </c>
      <c r="H11">
        <f>IF($B11=1,1,IF(INDEX('CMA function inputs'!$B$25:$L$30,MATCH('Breede-Olifants CMA'!$A$1,'CMA function inputs'!$A$25:$A$30,0),MATCH('Breede-Olifants CMA'!$A11,'CMA function inputs'!$B$24:$L$24,0))&lt;=H$2,1,0))</f>
        <v>1</v>
      </c>
      <c r="I11">
        <f>IF($B11=1,1,IF(INDEX('CMA function inputs'!$B$25:$L$30,MATCH('Breede-Olifants CMA'!$A$1,'CMA function inputs'!$A$25:$A$30,0),MATCH('Breede-Olifants CMA'!$A11,'CMA function inputs'!$B$24:$L$24,0))&lt;=I$2,1,0))</f>
        <v>1</v>
      </c>
      <c r="J11">
        <f>IF($B11=1,1,IF(INDEX('CMA function inputs'!$B$25:$L$30,MATCH('Breede-Olifants CMA'!$A$1,'CMA function inputs'!$A$25:$A$30,0),MATCH('Breede-Olifants CMA'!$A11,'CMA function inputs'!$B$24:$L$24,0))&lt;=J$2,1,0))</f>
        <v>1</v>
      </c>
      <c r="K11">
        <f>IF($B11=1,1,IF(INDEX('CMA function inputs'!$B$25:$L$30,MATCH('Breede-Olifants CMA'!$A$1,'CMA function inputs'!$A$25:$A$30,0),MATCH('Breede-Olifants CMA'!$A11,'CMA function inputs'!$B$24:$L$24,0))&lt;=K$2,1,0))</f>
        <v>1</v>
      </c>
    </row>
    <row r="12" spans="1:11" x14ac:dyDescent="0.25">
      <c r="A12" s="4" t="s">
        <v>38</v>
      </c>
      <c r="B12">
        <f>INDEX('CMA function inputs'!$B$17:$L$22,MATCH($A$1,'CMA function inputs'!$A$17:$A$22,0),MATCH(A12,'CMA function inputs'!$B$16:$L$16,0))</f>
        <v>1</v>
      </c>
      <c r="C12">
        <f>IF($B12=1,1,IF(INDEX('CMA function inputs'!$B$25:$L$30,MATCH('Breede-Olifants CMA'!$A$1,'CMA function inputs'!$A$25:$A$30,0),MATCH('Breede-Olifants CMA'!$A12,'CMA function inputs'!$B$24:$L$24,0))&lt;=C$2,1,0))</f>
        <v>1</v>
      </c>
      <c r="D12">
        <f>IF($B12=1,1,IF(INDEX('CMA function inputs'!$B$25:$L$30,MATCH('Breede-Olifants CMA'!$A$1,'CMA function inputs'!$A$25:$A$30,0),MATCH('Breede-Olifants CMA'!$A12,'CMA function inputs'!$B$24:$L$24,0))&lt;=D$2,1,0))</f>
        <v>1</v>
      </c>
      <c r="E12">
        <f>IF($B12=1,1,IF(INDEX('CMA function inputs'!$B$25:$L$30,MATCH('Breede-Olifants CMA'!$A$1,'CMA function inputs'!$A$25:$A$30,0),MATCH('Breede-Olifants CMA'!$A12,'CMA function inputs'!$B$24:$L$24,0))&lt;=E$2,1,0))</f>
        <v>1</v>
      </c>
      <c r="F12">
        <f>IF($B12=1,1,IF(INDEX('CMA function inputs'!$B$25:$L$30,MATCH('Breede-Olifants CMA'!$A$1,'CMA function inputs'!$A$25:$A$30,0),MATCH('Breede-Olifants CMA'!$A12,'CMA function inputs'!$B$24:$L$24,0))&lt;=F$2,1,0))</f>
        <v>1</v>
      </c>
      <c r="G12">
        <f>IF($B12=1,1,IF(INDEX('CMA function inputs'!$B$25:$L$30,MATCH('Breede-Olifants CMA'!$A$1,'CMA function inputs'!$A$25:$A$30,0),MATCH('Breede-Olifants CMA'!$A12,'CMA function inputs'!$B$24:$L$24,0))&lt;=G$2,1,0))</f>
        <v>1</v>
      </c>
      <c r="H12">
        <f>IF($B12=1,1,IF(INDEX('CMA function inputs'!$B$25:$L$30,MATCH('Breede-Olifants CMA'!$A$1,'CMA function inputs'!$A$25:$A$30,0),MATCH('Breede-Olifants CMA'!$A12,'CMA function inputs'!$B$24:$L$24,0))&lt;=H$2,1,0))</f>
        <v>1</v>
      </c>
      <c r="I12">
        <f>IF($B12=1,1,IF(INDEX('CMA function inputs'!$B$25:$L$30,MATCH('Breede-Olifants CMA'!$A$1,'CMA function inputs'!$A$25:$A$30,0),MATCH('Breede-Olifants CMA'!$A12,'CMA function inputs'!$B$24:$L$24,0))&lt;=I$2,1,0))</f>
        <v>1</v>
      </c>
      <c r="J12">
        <f>IF($B12=1,1,IF(INDEX('CMA function inputs'!$B$25:$L$30,MATCH('Breede-Olifants CMA'!$A$1,'CMA function inputs'!$A$25:$A$30,0),MATCH('Breede-Olifants CMA'!$A12,'CMA function inputs'!$B$24:$L$24,0))&lt;=J$2,1,0))</f>
        <v>1</v>
      </c>
      <c r="K12">
        <f>IF($B12=1,1,IF(INDEX('CMA function inputs'!$B$25:$L$30,MATCH('Breede-Olifants CMA'!$A$1,'CMA function inputs'!$A$25:$A$30,0),MATCH('Breede-Olifants CMA'!$A12,'CMA function inputs'!$B$24:$L$24,0))&lt;=K$2,1,0))</f>
        <v>1</v>
      </c>
    </row>
    <row r="13" spans="1:11" x14ac:dyDescent="0.25">
      <c r="A13" s="4" t="s">
        <v>15</v>
      </c>
      <c r="B13">
        <f>INDEX('CMA function inputs'!$B$17:$L$22,MATCH($A$1,'CMA function inputs'!$A$17:$A$22,0),MATCH(A13,'CMA function inputs'!$B$16:$L$16,0))</f>
        <v>1</v>
      </c>
      <c r="C13">
        <f>IF($B13=1,1,IF(INDEX('CMA function inputs'!$B$25:$L$30,MATCH('Breede-Olifants CMA'!$A$1,'CMA function inputs'!$A$25:$A$30,0),MATCH('Breede-Olifants CMA'!$A13,'CMA function inputs'!$B$24:$L$24,0))&lt;=C$2,1,0))</f>
        <v>1</v>
      </c>
      <c r="D13">
        <f>IF($B13=1,1,IF(INDEX('CMA function inputs'!$B$25:$L$30,MATCH('Breede-Olifants CMA'!$A$1,'CMA function inputs'!$A$25:$A$30,0),MATCH('Breede-Olifants CMA'!$A13,'CMA function inputs'!$B$24:$L$24,0))&lt;=D$2,1,0))</f>
        <v>1</v>
      </c>
      <c r="E13">
        <f>IF($B13=1,1,IF(INDEX('CMA function inputs'!$B$25:$L$30,MATCH('Breede-Olifants CMA'!$A$1,'CMA function inputs'!$A$25:$A$30,0),MATCH('Breede-Olifants CMA'!$A13,'CMA function inputs'!$B$24:$L$24,0))&lt;=E$2,1,0))</f>
        <v>1</v>
      </c>
      <c r="F13">
        <f>IF($B13=1,1,IF(INDEX('CMA function inputs'!$B$25:$L$30,MATCH('Breede-Olifants CMA'!$A$1,'CMA function inputs'!$A$25:$A$30,0),MATCH('Breede-Olifants CMA'!$A13,'CMA function inputs'!$B$24:$L$24,0))&lt;=F$2,1,0))</f>
        <v>1</v>
      </c>
      <c r="G13">
        <f>IF($B13=1,1,IF(INDEX('CMA function inputs'!$B$25:$L$30,MATCH('Breede-Olifants CMA'!$A$1,'CMA function inputs'!$A$25:$A$30,0),MATCH('Breede-Olifants CMA'!$A13,'CMA function inputs'!$B$24:$L$24,0))&lt;=G$2,1,0))</f>
        <v>1</v>
      </c>
      <c r="H13">
        <f>IF($B13=1,1,IF(INDEX('CMA function inputs'!$B$25:$L$30,MATCH('Breede-Olifants CMA'!$A$1,'CMA function inputs'!$A$25:$A$30,0),MATCH('Breede-Olifants CMA'!$A13,'CMA function inputs'!$B$24:$L$24,0))&lt;=H$2,1,0))</f>
        <v>1</v>
      </c>
      <c r="I13">
        <f>IF($B13=1,1,IF(INDEX('CMA function inputs'!$B$25:$L$30,MATCH('Breede-Olifants CMA'!$A$1,'CMA function inputs'!$A$25:$A$30,0),MATCH('Breede-Olifants CMA'!$A13,'CMA function inputs'!$B$24:$L$24,0))&lt;=I$2,1,0))</f>
        <v>1</v>
      </c>
      <c r="J13">
        <f>IF($B13=1,1,IF(INDEX('CMA function inputs'!$B$25:$L$30,MATCH('Breede-Olifants CMA'!$A$1,'CMA function inputs'!$A$25:$A$30,0),MATCH('Breede-Olifants CMA'!$A13,'CMA function inputs'!$B$24:$L$24,0))&lt;=J$2,1,0))</f>
        <v>1</v>
      </c>
      <c r="K13">
        <f>IF($B13=1,1,IF(INDEX('CMA function inputs'!$B$25:$L$30,MATCH('Breede-Olifants CMA'!$A$1,'CMA function inputs'!$A$25:$A$30,0),MATCH('Breede-Olifants CMA'!$A13,'CMA function inputs'!$B$24:$L$24,0))&lt;=K$2,1,0))</f>
        <v>1</v>
      </c>
    </row>
    <row r="14" spans="1:11" x14ac:dyDescent="0.25">
      <c r="A14" s="4"/>
    </row>
    <row r="15" spans="1:11" x14ac:dyDescent="0.25">
      <c r="A15" s="4"/>
      <c r="B15" t="s">
        <v>55</v>
      </c>
      <c r="C15" t="s">
        <v>20</v>
      </c>
      <c r="D15" t="s">
        <v>21</v>
      </c>
      <c r="E15" t="s">
        <v>51</v>
      </c>
    </row>
    <row r="16" spans="1:11" x14ac:dyDescent="0.25">
      <c r="A16" s="4" t="s">
        <v>35</v>
      </c>
      <c r="B16" s="9">
        <f>'CMA function inputs'!B3</f>
        <v>3.1046720286065279E-3</v>
      </c>
      <c r="C16" t="str">
        <f>'CMA function inputs'!C3</f>
        <v>Registered volume</v>
      </c>
      <c r="D16" s="8">
        <f>INDEX('Data inputs'!$B$4:$D$9,MATCH($A$1,'Data inputs'!$A$4:$A$9,0),MATCH(C16,'Data inputs'!$B$3:$D$3,0))</f>
        <v>2880773260</v>
      </c>
      <c r="E16" s="5">
        <f>B16*D16</f>
        <v>8943856.1610796414</v>
      </c>
    </row>
    <row r="17" spans="1:11" x14ac:dyDescent="0.25">
      <c r="A17" s="4" t="s">
        <v>36</v>
      </c>
      <c r="B17" s="9">
        <f>'CMA function inputs'!B4</f>
        <v>1.7019297206331829E-3</v>
      </c>
      <c r="C17" t="str">
        <f>'CMA function inputs'!C4</f>
        <v>Registered volume</v>
      </c>
      <c r="D17" s="8">
        <f>INDEX('Data inputs'!$B$4:$D$9,MATCH($A$1,'Data inputs'!$A$4:$A$9,0),MATCH(C17,'Data inputs'!$B$3:$D$3,0))</f>
        <v>2880773260</v>
      </c>
      <c r="E17" s="5">
        <f t="shared" ref="E17:E26" si="1">B17*D17</f>
        <v>4902873.629599344</v>
      </c>
    </row>
    <row r="18" spans="1:11" x14ac:dyDescent="0.25">
      <c r="A18" s="4" t="s">
        <v>11</v>
      </c>
      <c r="B18" s="82">
        <v>0</v>
      </c>
      <c r="C18" s="82">
        <v>0</v>
      </c>
      <c r="D18" s="82">
        <v>0</v>
      </c>
      <c r="E18" s="82">
        <v>0</v>
      </c>
      <c r="F18" s="83" t="s">
        <v>112</v>
      </c>
    </row>
    <row r="19" spans="1:11" x14ac:dyDescent="0.25">
      <c r="A19" s="4" t="s">
        <v>124</v>
      </c>
      <c r="B19" s="9">
        <f>'CMA function inputs'!B6</f>
        <v>15.079185256950241</v>
      </c>
      <c r="C19" t="str">
        <f>'CMA function inputs'!C6</f>
        <v>Area</v>
      </c>
      <c r="D19" s="8">
        <f>INDEX('Data inputs'!$B$4:$D$9,MATCH($A$1,'Data inputs'!$A$4:$A$9,0),MATCH(C19,'Data inputs'!$B$3:$D$3,0))</f>
        <v>142502.05600899999</v>
      </c>
      <c r="E19" s="5">
        <f t="shared" si="1"/>
        <v>2148814.9020560104</v>
      </c>
    </row>
    <row r="20" spans="1:11" x14ac:dyDescent="0.25">
      <c r="A20" s="4" t="s">
        <v>12</v>
      </c>
      <c r="B20" s="9">
        <f>'CMA function inputs'!B7</f>
        <v>9.7869565022375288E-3</v>
      </c>
      <c r="C20" t="str">
        <f>'CMA function inputs'!C7</f>
        <v>Registered volume</v>
      </c>
      <c r="D20" s="8">
        <f>INDEX('Data inputs'!$B$4:$D$9,MATCH($A$1,'Data inputs'!$A$4:$A$9,0),MATCH(C20,'Data inputs'!$B$3:$D$3,0))</f>
        <v>2880773260</v>
      </c>
      <c r="E20" s="5">
        <f t="shared" si="1"/>
        <v>28194002.588429004</v>
      </c>
    </row>
    <row r="21" spans="1:11" x14ac:dyDescent="0.25">
      <c r="A21" s="4" t="s">
        <v>13</v>
      </c>
      <c r="B21" s="82">
        <v>0</v>
      </c>
      <c r="C21" s="82">
        <v>0</v>
      </c>
      <c r="D21" s="82">
        <v>0</v>
      </c>
      <c r="E21" s="82">
        <v>0</v>
      </c>
      <c r="F21" s="83" t="s">
        <v>112</v>
      </c>
    </row>
    <row r="22" spans="1:11" x14ac:dyDescent="0.25">
      <c r="A22" s="4" t="s">
        <v>14</v>
      </c>
      <c r="B22" s="82">
        <v>0</v>
      </c>
      <c r="C22" s="82">
        <v>0</v>
      </c>
      <c r="D22" s="82">
        <v>0</v>
      </c>
      <c r="E22" s="82">
        <v>0</v>
      </c>
      <c r="F22" s="83" t="s">
        <v>112</v>
      </c>
    </row>
    <row r="23" spans="1:11" x14ac:dyDescent="0.25">
      <c r="A23" s="4" t="s">
        <v>125</v>
      </c>
      <c r="B23" s="9">
        <f>'CMA function inputs'!B10</f>
        <v>3.2367164664335804E-4</v>
      </c>
      <c r="C23" t="str">
        <f>'CMA function inputs'!C10</f>
        <v>Registered volume</v>
      </c>
      <c r="D23" s="8">
        <f>INDEX('Data inputs'!$B$4:$D$9,MATCH($A$1,'Data inputs'!$A$4:$A$9,0),MATCH(C23,'Data inputs'!$B$3:$D$3,0))</f>
        <v>2880773260</v>
      </c>
      <c r="E23" s="5">
        <f t="shared" ref="E23" si="2">B23*D23</f>
        <v>932424.62467035465</v>
      </c>
      <c r="F23" s="83"/>
    </row>
    <row r="24" spans="1:11" x14ac:dyDescent="0.25">
      <c r="A24" s="4" t="s">
        <v>37</v>
      </c>
      <c r="B24" s="9">
        <f>'CMA function inputs'!B11</f>
        <v>9.4147590178041175E-3</v>
      </c>
      <c r="C24" t="str">
        <f>'CMA function inputs'!C11</f>
        <v>Registered volume</v>
      </c>
      <c r="D24" s="8">
        <f>INDEX('Data inputs'!$B$4:$D$9,MATCH($A$1,'Data inputs'!$A$4:$A$9,0),MATCH(C24,'Data inputs'!$B$3:$D$3,0))</f>
        <v>2880773260</v>
      </c>
      <c r="E24" s="5">
        <f t="shared" si="1"/>
        <v>27121786.027833965</v>
      </c>
    </row>
    <row r="25" spans="1:11" x14ac:dyDescent="0.25">
      <c r="A25" s="4" t="s">
        <v>38</v>
      </c>
      <c r="B25" s="9">
        <f>'CMA function inputs'!B12</f>
        <v>1.262070332489598E-3</v>
      </c>
      <c r="C25" t="str">
        <f>'CMA function inputs'!C12</f>
        <v>Registered volume</v>
      </c>
      <c r="D25" s="8">
        <f>INDEX('Data inputs'!$B$4:$D$9,MATCH($A$1,'Data inputs'!$A$4:$A$9,0),MATCH(C25,'Data inputs'!$B$3:$D$3,0))</f>
        <v>2880773260</v>
      </c>
      <c r="E25" s="5">
        <f t="shared" si="1"/>
        <v>3635738.4660753431</v>
      </c>
    </row>
    <row r="26" spans="1:11" x14ac:dyDescent="0.25">
      <c r="A26" s="4" t="s">
        <v>15</v>
      </c>
      <c r="B26" s="9">
        <f>'CMA function inputs'!B13</f>
        <v>1.0919241845339479E-2</v>
      </c>
      <c r="C26" t="str">
        <f>'CMA function inputs'!C13</f>
        <v>Registered volume</v>
      </c>
      <c r="D26" s="8">
        <f>INDEX('Data inputs'!$B$4:$D$9,MATCH($A$1,'Data inputs'!$A$4:$A$9,0),MATCH(C26,'Data inputs'!$B$3:$D$3,0))</f>
        <v>2880773260</v>
      </c>
      <c r="E26" s="13">
        <f t="shared" si="1"/>
        <v>31455859.927527025</v>
      </c>
    </row>
    <row r="27" spans="1:11" x14ac:dyDescent="0.25">
      <c r="E27" s="14">
        <f>SUM(E16:E26)</f>
        <v>107335356.32727069</v>
      </c>
    </row>
    <row r="28" spans="1:11" s="3" customFormat="1" x14ac:dyDescent="0.25">
      <c r="A28" s="2"/>
    </row>
    <row r="29" spans="1:11" x14ac:dyDescent="0.25">
      <c r="A29" s="70" t="s">
        <v>22</v>
      </c>
      <c r="B29" s="7">
        <f>'Summary dashboard'!B3</f>
        <v>1</v>
      </c>
      <c r="C29" s="6">
        <f t="shared" ref="C29:J29" si="3">B29+($K$29-$B$29)/9</f>
        <v>1</v>
      </c>
      <c r="D29" s="6">
        <f t="shared" si="3"/>
        <v>1</v>
      </c>
      <c r="E29" s="6">
        <f t="shared" si="3"/>
        <v>1</v>
      </c>
      <c r="F29" s="6">
        <f t="shared" si="3"/>
        <v>1</v>
      </c>
      <c r="G29" s="6">
        <f t="shared" si="3"/>
        <v>1</v>
      </c>
      <c r="H29" s="6">
        <f t="shared" si="3"/>
        <v>1</v>
      </c>
      <c r="I29" s="6">
        <f t="shared" si="3"/>
        <v>1</v>
      </c>
      <c r="J29" s="6">
        <f t="shared" si="3"/>
        <v>1</v>
      </c>
      <c r="K29" s="7">
        <f>'Summary dashboard'!C3</f>
        <v>1</v>
      </c>
    </row>
    <row r="30" spans="1:11" x14ac:dyDescent="0.25">
      <c r="B30" s="12" t="str">
        <f>'Summary dashboard'!C4</f>
        <v>2023</v>
      </c>
      <c r="C30" s="12">
        <f>B30+1</f>
        <v>2024</v>
      </c>
      <c r="D30" s="12">
        <f t="shared" ref="D30:J30" si="4">C30+1</f>
        <v>2025</v>
      </c>
      <c r="E30" s="12">
        <f t="shared" si="4"/>
        <v>2026</v>
      </c>
      <c r="F30" s="12">
        <f t="shared" si="4"/>
        <v>2027</v>
      </c>
      <c r="G30" s="12">
        <f t="shared" si="4"/>
        <v>2028</v>
      </c>
      <c r="H30" s="12">
        <f t="shared" si="4"/>
        <v>2029</v>
      </c>
      <c r="I30" s="12">
        <f t="shared" si="4"/>
        <v>2030</v>
      </c>
      <c r="J30" s="12">
        <f t="shared" si="4"/>
        <v>2031</v>
      </c>
      <c r="K30" s="12">
        <f>J30+1</f>
        <v>2032</v>
      </c>
    </row>
    <row r="31" spans="1:11" x14ac:dyDescent="0.25">
      <c r="A31" s="4" t="s">
        <v>35</v>
      </c>
      <c r="B31" s="16">
        <f>IF(B3=1,B$29,0)</f>
        <v>1</v>
      </c>
      <c r="C31" s="16">
        <f t="shared" ref="C31:K41" si="5">IF(IF(C3&gt;B3,$B$29,B31+($K$29-$B$29)/9)&lt;0,0,IF(C3&gt;B3,$B$29,B31+($K$29-$B$29)/9))</f>
        <v>1</v>
      </c>
      <c r="D31" s="16">
        <f t="shared" si="5"/>
        <v>1</v>
      </c>
      <c r="E31" s="16">
        <f>IF(IF(E3&gt;D3,$B$29,D31+($K$29-$B$29)/9)&lt;0,0,IF(E3&gt;D3,$B$29,D31+($K$29-$B$29)/9))</f>
        <v>1</v>
      </c>
      <c r="F31" s="16">
        <f t="shared" si="5"/>
        <v>1</v>
      </c>
      <c r="G31" s="16">
        <f t="shared" si="5"/>
        <v>1</v>
      </c>
      <c r="H31" s="16">
        <f t="shared" si="5"/>
        <v>1</v>
      </c>
      <c r="I31" s="16">
        <f t="shared" si="5"/>
        <v>1</v>
      </c>
      <c r="J31" s="16">
        <f t="shared" si="5"/>
        <v>1</v>
      </c>
      <c r="K31" s="16">
        <f t="shared" si="5"/>
        <v>1</v>
      </c>
    </row>
    <row r="32" spans="1:11" x14ac:dyDescent="0.25">
      <c r="A32" s="4" t="s">
        <v>36</v>
      </c>
      <c r="B32" s="16">
        <f t="shared" ref="B32:B41" si="6">IF(B4=1,B$29,0)</f>
        <v>1</v>
      </c>
      <c r="C32" s="16">
        <f t="shared" si="5"/>
        <v>1</v>
      </c>
      <c r="D32" s="16">
        <f t="shared" si="5"/>
        <v>1</v>
      </c>
      <c r="E32" s="16">
        <f t="shared" si="5"/>
        <v>1</v>
      </c>
      <c r="F32" s="16">
        <f t="shared" si="5"/>
        <v>1</v>
      </c>
      <c r="G32" s="16">
        <f t="shared" si="5"/>
        <v>1</v>
      </c>
      <c r="H32" s="16">
        <f t="shared" si="5"/>
        <v>1</v>
      </c>
      <c r="I32" s="16">
        <f t="shared" si="5"/>
        <v>1</v>
      </c>
      <c r="J32" s="16">
        <f t="shared" si="5"/>
        <v>1</v>
      </c>
      <c r="K32" s="16">
        <f t="shared" si="5"/>
        <v>1</v>
      </c>
    </row>
    <row r="33" spans="1:14" x14ac:dyDescent="0.25">
      <c r="A33" s="4" t="s">
        <v>11</v>
      </c>
      <c r="B33" s="16">
        <f t="shared" si="6"/>
        <v>1</v>
      </c>
      <c r="C33" s="16">
        <f t="shared" si="5"/>
        <v>1</v>
      </c>
      <c r="D33" s="16">
        <f>IF(IF(D5&gt;C5,$B$29,C33+($K$29-$B$29)/9)&lt;0,0,IF(D5&gt;C5,$B$29,C33+($K$29-$B$29)/9))</f>
        <v>1</v>
      </c>
      <c r="E33" s="16">
        <f t="shared" si="5"/>
        <v>1</v>
      </c>
      <c r="F33" s="16">
        <f t="shared" si="5"/>
        <v>1</v>
      </c>
      <c r="G33" s="16">
        <f t="shared" si="5"/>
        <v>1</v>
      </c>
      <c r="H33" s="16">
        <f t="shared" si="5"/>
        <v>1</v>
      </c>
      <c r="I33" s="16">
        <f t="shared" si="5"/>
        <v>1</v>
      </c>
      <c r="J33" s="16">
        <f t="shared" si="5"/>
        <v>1</v>
      </c>
      <c r="K33" s="16">
        <f t="shared" si="5"/>
        <v>1</v>
      </c>
    </row>
    <row r="34" spans="1:14" x14ac:dyDescent="0.25">
      <c r="A34" s="4" t="s">
        <v>124</v>
      </c>
      <c r="B34" s="16">
        <f t="shared" si="6"/>
        <v>1</v>
      </c>
      <c r="C34" s="16">
        <f t="shared" si="5"/>
        <v>1</v>
      </c>
      <c r="D34" s="16">
        <f t="shared" si="5"/>
        <v>1</v>
      </c>
      <c r="E34" s="16">
        <f t="shared" si="5"/>
        <v>1</v>
      </c>
      <c r="F34" s="16">
        <f t="shared" si="5"/>
        <v>1</v>
      </c>
      <c r="G34" s="16">
        <f t="shared" si="5"/>
        <v>1</v>
      </c>
      <c r="H34" s="16">
        <f t="shared" si="5"/>
        <v>1</v>
      </c>
      <c r="I34" s="16">
        <f t="shared" si="5"/>
        <v>1</v>
      </c>
      <c r="J34" s="16">
        <f t="shared" si="5"/>
        <v>1</v>
      </c>
      <c r="K34" s="16">
        <f t="shared" si="5"/>
        <v>1</v>
      </c>
    </row>
    <row r="35" spans="1:14" x14ac:dyDescent="0.25">
      <c r="A35" s="4" t="s">
        <v>12</v>
      </c>
      <c r="B35" s="16">
        <f t="shared" si="6"/>
        <v>1</v>
      </c>
      <c r="C35" s="16">
        <f t="shared" si="5"/>
        <v>1</v>
      </c>
      <c r="D35" s="16">
        <f t="shared" si="5"/>
        <v>1</v>
      </c>
      <c r="E35" s="16">
        <f t="shared" si="5"/>
        <v>1</v>
      </c>
      <c r="F35" s="16">
        <f t="shared" si="5"/>
        <v>1</v>
      </c>
      <c r="G35" s="16">
        <f t="shared" si="5"/>
        <v>1</v>
      </c>
      <c r="H35" s="16">
        <f t="shared" si="5"/>
        <v>1</v>
      </c>
      <c r="I35" s="16">
        <f t="shared" si="5"/>
        <v>1</v>
      </c>
      <c r="J35" s="16">
        <f t="shared" si="5"/>
        <v>1</v>
      </c>
      <c r="K35" s="16">
        <f t="shared" si="5"/>
        <v>1</v>
      </c>
    </row>
    <row r="36" spans="1:14" x14ac:dyDescent="0.25">
      <c r="A36" s="4" t="s">
        <v>13</v>
      </c>
      <c r="B36" s="16">
        <f t="shared" si="6"/>
        <v>1</v>
      </c>
      <c r="C36" s="16">
        <f t="shared" si="5"/>
        <v>1</v>
      </c>
      <c r="D36" s="16">
        <f t="shared" si="5"/>
        <v>1</v>
      </c>
      <c r="E36" s="16">
        <f t="shared" si="5"/>
        <v>1</v>
      </c>
      <c r="F36" s="16">
        <f t="shared" si="5"/>
        <v>1</v>
      </c>
      <c r="G36" s="16">
        <f t="shared" si="5"/>
        <v>1</v>
      </c>
      <c r="H36" s="16">
        <f t="shared" si="5"/>
        <v>1</v>
      </c>
      <c r="I36" s="16">
        <f t="shared" si="5"/>
        <v>1</v>
      </c>
      <c r="J36" s="16">
        <f t="shared" si="5"/>
        <v>1</v>
      </c>
      <c r="K36" s="16">
        <f t="shared" si="5"/>
        <v>1</v>
      </c>
    </row>
    <row r="37" spans="1:14" x14ac:dyDescent="0.25">
      <c r="A37" s="4" t="s">
        <v>14</v>
      </c>
      <c r="B37" s="16">
        <f t="shared" si="6"/>
        <v>1</v>
      </c>
      <c r="C37" s="16">
        <f t="shared" si="5"/>
        <v>1</v>
      </c>
      <c r="D37" s="16">
        <f t="shared" si="5"/>
        <v>1</v>
      </c>
      <c r="E37" s="16">
        <f t="shared" si="5"/>
        <v>1</v>
      </c>
      <c r="F37" s="16">
        <f t="shared" si="5"/>
        <v>1</v>
      </c>
      <c r="G37" s="16">
        <f t="shared" si="5"/>
        <v>1</v>
      </c>
      <c r="H37" s="16">
        <f t="shared" si="5"/>
        <v>1</v>
      </c>
      <c r="I37" s="16">
        <f t="shared" si="5"/>
        <v>1</v>
      </c>
      <c r="J37" s="16">
        <f t="shared" si="5"/>
        <v>1</v>
      </c>
      <c r="K37" s="16">
        <f t="shared" si="5"/>
        <v>1</v>
      </c>
    </row>
    <row r="38" spans="1:14" x14ac:dyDescent="0.25">
      <c r="A38" s="4" t="s">
        <v>125</v>
      </c>
      <c r="B38" s="16">
        <f t="shared" si="6"/>
        <v>1</v>
      </c>
      <c r="C38" s="16">
        <f t="shared" si="5"/>
        <v>1</v>
      </c>
      <c r="D38" s="16">
        <f t="shared" si="5"/>
        <v>1</v>
      </c>
      <c r="E38" s="16">
        <f t="shared" si="5"/>
        <v>1</v>
      </c>
      <c r="F38" s="16">
        <f t="shared" si="5"/>
        <v>1</v>
      </c>
      <c r="G38" s="16">
        <f t="shared" si="5"/>
        <v>1</v>
      </c>
      <c r="H38" s="16">
        <f t="shared" si="5"/>
        <v>1</v>
      </c>
      <c r="I38" s="16">
        <f t="shared" si="5"/>
        <v>1</v>
      </c>
      <c r="J38" s="16">
        <f t="shared" si="5"/>
        <v>1</v>
      </c>
      <c r="K38" s="16">
        <f t="shared" si="5"/>
        <v>1</v>
      </c>
    </row>
    <row r="39" spans="1:14" x14ac:dyDescent="0.25">
      <c r="A39" s="4" t="s">
        <v>37</v>
      </c>
      <c r="B39" s="16">
        <f t="shared" si="6"/>
        <v>1</v>
      </c>
      <c r="C39" s="16">
        <f t="shared" si="5"/>
        <v>1</v>
      </c>
      <c r="D39" s="16">
        <f t="shared" si="5"/>
        <v>1</v>
      </c>
      <c r="E39" s="16">
        <f t="shared" si="5"/>
        <v>1</v>
      </c>
      <c r="F39" s="16">
        <f t="shared" si="5"/>
        <v>1</v>
      </c>
      <c r="G39" s="16">
        <f t="shared" si="5"/>
        <v>1</v>
      </c>
      <c r="H39" s="16">
        <f t="shared" si="5"/>
        <v>1</v>
      </c>
      <c r="I39" s="16">
        <f t="shared" si="5"/>
        <v>1</v>
      </c>
      <c r="J39" s="16">
        <f t="shared" si="5"/>
        <v>1</v>
      </c>
      <c r="K39" s="16">
        <f t="shared" si="5"/>
        <v>1</v>
      </c>
    </row>
    <row r="40" spans="1:14" x14ac:dyDescent="0.25">
      <c r="A40" s="4" t="s">
        <v>38</v>
      </c>
      <c r="B40" s="16">
        <f t="shared" si="6"/>
        <v>1</v>
      </c>
      <c r="C40" s="16">
        <f t="shared" si="5"/>
        <v>1</v>
      </c>
      <c r="D40" s="16">
        <f t="shared" si="5"/>
        <v>1</v>
      </c>
      <c r="E40" s="16">
        <f t="shared" si="5"/>
        <v>1</v>
      </c>
      <c r="F40" s="16">
        <f t="shared" si="5"/>
        <v>1</v>
      </c>
      <c r="G40" s="16">
        <f t="shared" si="5"/>
        <v>1</v>
      </c>
      <c r="H40" s="16">
        <f t="shared" si="5"/>
        <v>1</v>
      </c>
      <c r="I40" s="16">
        <f t="shared" si="5"/>
        <v>1</v>
      </c>
      <c r="J40" s="16">
        <f t="shared" si="5"/>
        <v>1</v>
      </c>
      <c r="K40" s="16">
        <f t="shared" si="5"/>
        <v>1</v>
      </c>
    </row>
    <row r="41" spans="1:14" x14ac:dyDescent="0.25">
      <c r="A41" s="4" t="s">
        <v>15</v>
      </c>
      <c r="B41" s="16">
        <f t="shared" si="6"/>
        <v>1</v>
      </c>
      <c r="C41" s="16">
        <f t="shared" si="5"/>
        <v>1</v>
      </c>
      <c r="D41" s="16">
        <f t="shared" si="5"/>
        <v>1</v>
      </c>
      <c r="E41" s="16">
        <f t="shared" si="5"/>
        <v>1</v>
      </c>
      <c r="F41" s="16">
        <f t="shared" si="5"/>
        <v>1</v>
      </c>
      <c r="G41" s="16">
        <f t="shared" si="5"/>
        <v>1</v>
      </c>
      <c r="H41" s="16">
        <f t="shared" si="5"/>
        <v>1</v>
      </c>
      <c r="I41" s="16">
        <f t="shared" si="5"/>
        <v>1</v>
      </c>
      <c r="J41" s="16">
        <f t="shared" si="5"/>
        <v>1</v>
      </c>
      <c r="K41" s="16">
        <f t="shared" si="5"/>
        <v>1</v>
      </c>
    </row>
    <row r="42" spans="1:14" x14ac:dyDescent="0.25">
      <c r="C42" s="6"/>
      <c r="D42" s="6"/>
      <c r="E42" s="6"/>
      <c r="F42" s="6"/>
      <c r="G42" s="6"/>
      <c r="H42" s="6"/>
      <c r="I42" s="6"/>
      <c r="J42" s="6"/>
      <c r="K42" s="6"/>
      <c r="N42" s="21" t="s">
        <v>63</v>
      </c>
    </row>
    <row r="43" spans="1:14" x14ac:dyDescent="0.25">
      <c r="A43" s="21" t="s">
        <v>60</v>
      </c>
      <c r="B43" s="12" t="str">
        <f>'Summary dashboard'!C4</f>
        <v>2023</v>
      </c>
      <c r="C43" s="12">
        <f t="shared" ref="C43" si="7">B43+1</f>
        <v>2024</v>
      </c>
      <c r="D43" s="12">
        <f t="shared" ref="D43" si="8">C43+1</f>
        <v>2025</v>
      </c>
      <c r="E43" s="12">
        <f t="shared" ref="E43" si="9">D43+1</f>
        <v>2026</v>
      </c>
      <c r="F43" s="12">
        <f t="shared" ref="F43" si="10">E43+1</f>
        <v>2027</v>
      </c>
      <c r="G43" s="12">
        <f t="shared" ref="G43" si="11">F43+1</f>
        <v>2028</v>
      </c>
      <c r="H43" s="12">
        <f t="shared" ref="H43" si="12">G43+1</f>
        <v>2029</v>
      </c>
      <c r="I43" s="12">
        <f t="shared" ref="I43" si="13">H43+1</f>
        <v>2030</v>
      </c>
      <c r="J43" s="12">
        <f t="shared" ref="J43" si="14">I43+1</f>
        <v>2031</v>
      </c>
      <c r="K43" s="12">
        <f t="shared" ref="K43" si="15">J43+1</f>
        <v>2032</v>
      </c>
      <c r="L43" s="1" t="s">
        <v>28</v>
      </c>
      <c r="N43" s="44" t="str">
        <f>'Summary dashboard'!B16</f>
        <v>2023</v>
      </c>
    </row>
    <row r="44" spans="1:14" x14ac:dyDescent="0.25">
      <c r="A44" s="4" t="s">
        <v>35</v>
      </c>
      <c r="B44" s="32">
        <f>IF($B16*$D16*B31&gt;0,$B16*$D16*B31,INDEX('Data inputs'!$B$29:$G$39,MATCH($A44,'Data inputs'!$A$29:$A$39,0),MATCH($A$1,'Data inputs'!$B$28:$G$28,0)))</f>
        <v>8943856.1610796414</v>
      </c>
      <c r="C44" s="32">
        <f>IF($B16*$D16*C31&gt;0,$B16*$D16*C31,INDEX('Data inputs'!$B$29:$G$39,MATCH($A44,'Data inputs'!$A$29:$A$39,0),MATCH($A$1,'Data inputs'!$B$28:$G$28,0)))</f>
        <v>8943856.1610796414</v>
      </c>
      <c r="D44" s="32">
        <f>IF($B16*$D16*D31&gt;0,$B16*$D16*D31,INDEX('Data inputs'!$B$29:$G$39,MATCH($A44,'Data inputs'!$A$29:$A$39,0),MATCH($A$1,'Data inputs'!$B$28:$G$28,0)))</f>
        <v>8943856.1610796414</v>
      </c>
      <c r="E44" s="32">
        <f>IF($B16*$D16*E31&gt;0,$B16*$D16*E31,INDEX('Data inputs'!$B$29:$G$39,MATCH($A44,'Data inputs'!$A$29:$A$39,0),MATCH($A$1,'Data inputs'!$B$28:$G$28,0)))</f>
        <v>8943856.1610796414</v>
      </c>
      <c r="F44" s="32">
        <f>IF($B16*$D16*F31&gt;0,$B16*$D16*F31,INDEX('Data inputs'!$B$29:$G$39,MATCH($A44,'Data inputs'!$A$29:$A$39,0),MATCH($A$1,'Data inputs'!$B$28:$G$28,0)))</f>
        <v>8943856.1610796414</v>
      </c>
      <c r="G44" s="32">
        <f>IF($B16*$D16*G31&gt;0,$B16*$D16*G31,INDEX('Data inputs'!$B$29:$G$39,MATCH($A44,'Data inputs'!$A$29:$A$39,0),MATCH($A$1,'Data inputs'!$B$28:$G$28,0)))</f>
        <v>8943856.1610796414</v>
      </c>
      <c r="H44" s="32">
        <f>IF($B16*$D16*H31&gt;0,$B16*$D16*H31,INDEX('Data inputs'!$B$29:$G$39,MATCH($A44,'Data inputs'!$A$29:$A$39,0),MATCH($A$1,'Data inputs'!$B$28:$G$28,0)))</f>
        <v>8943856.1610796414</v>
      </c>
      <c r="I44" s="32">
        <f>IF($B16*$D16*I31&gt;0,$B16*$D16*I31,INDEX('Data inputs'!$B$29:$G$39,MATCH($A44,'Data inputs'!$A$29:$A$39,0),MATCH($A$1,'Data inputs'!$B$28:$G$28,0)))</f>
        <v>8943856.1610796414</v>
      </c>
      <c r="J44" s="32">
        <f>IF($B16*$D16*J31&gt;0,$B16*$D16*J31,INDEX('Data inputs'!$B$29:$G$39,MATCH($A44,'Data inputs'!$A$29:$A$39,0),MATCH($A$1,'Data inputs'!$B$28:$G$28,0)))</f>
        <v>8943856.1610796414</v>
      </c>
      <c r="K44" s="32">
        <f>IF($B16*$D16*K31&gt;0,$B16*$D16*K31,INDEX('Data inputs'!$B$29:$G$39,MATCH($A44,'Data inputs'!$A$29:$A$39,0),MATCH($A$1,'Data inputs'!$B$28:$G$28,0)))</f>
        <v>8943856.1610796414</v>
      </c>
      <c r="L44" s="5">
        <f t="shared" ref="L44:L54" si="16">AVERAGE(B44:K44)</f>
        <v>8943856.1610796433</v>
      </c>
      <c r="N44" s="5">
        <f t="shared" ref="N44:N54" si="17">INDEX(B44:K44,1,MATCH($N$43,$B$43:$K$43,0))</f>
        <v>8943856.1610796414</v>
      </c>
    </row>
    <row r="45" spans="1:14" x14ac:dyDescent="0.25">
      <c r="A45" s="4" t="s">
        <v>36</v>
      </c>
      <c r="B45" s="32">
        <f>IF($B17*$D17*B32&gt;0,$B17*$D17*B32,INDEX('Data inputs'!$B$29:$G$39,MATCH($A45,'Data inputs'!$A$29:$A$39,0),MATCH($A$1,'Data inputs'!$B$28:$G$28,0)))</f>
        <v>4902873.629599344</v>
      </c>
      <c r="C45" s="32">
        <f>IF($B17*$D17*C32&gt;0,$B17*$D17*C32,INDEX('Data inputs'!$B$29:$G$39,MATCH($A45,'Data inputs'!$A$29:$A$39,0),MATCH($A$1,'Data inputs'!$B$28:$G$28,0)))</f>
        <v>4902873.629599344</v>
      </c>
      <c r="D45" s="32">
        <f>IF($B17*$D17*D32&gt;0,$B17*$D17*D32,INDEX('Data inputs'!$B$29:$G$39,MATCH($A45,'Data inputs'!$A$29:$A$39,0),MATCH($A$1,'Data inputs'!$B$28:$G$28,0)))</f>
        <v>4902873.629599344</v>
      </c>
      <c r="E45" s="32">
        <f>IF($B17*$D17*E32&gt;0,$B17*$D17*E32,INDEX('Data inputs'!$B$29:$G$39,MATCH($A45,'Data inputs'!$A$29:$A$39,0),MATCH($A$1,'Data inputs'!$B$28:$G$28,0)))</f>
        <v>4902873.629599344</v>
      </c>
      <c r="F45" s="32">
        <f>IF($B17*$D17*F32&gt;0,$B17*$D17*F32,INDEX('Data inputs'!$B$29:$G$39,MATCH($A45,'Data inputs'!$A$29:$A$39,0),MATCH($A$1,'Data inputs'!$B$28:$G$28,0)))</f>
        <v>4902873.629599344</v>
      </c>
      <c r="G45" s="32">
        <f>IF($B17*$D17*G32&gt;0,$B17*$D17*G32,INDEX('Data inputs'!$B$29:$G$39,MATCH($A45,'Data inputs'!$A$29:$A$39,0),MATCH($A$1,'Data inputs'!$B$28:$G$28,0)))</f>
        <v>4902873.629599344</v>
      </c>
      <c r="H45" s="32">
        <f>IF($B17*$D17*H32&gt;0,$B17*$D17*H32,INDEX('Data inputs'!$B$29:$G$39,MATCH($A45,'Data inputs'!$A$29:$A$39,0),MATCH($A$1,'Data inputs'!$B$28:$G$28,0)))</f>
        <v>4902873.629599344</v>
      </c>
      <c r="I45" s="32">
        <f>IF($B17*$D17*I32&gt;0,$B17*$D17*I32,INDEX('Data inputs'!$B$29:$G$39,MATCH($A45,'Data inputs'!$A$29:$A$39,0),MATCH($A$1,'Data inputs'!$B$28:$G$28,0)))</f>
        <v>4902873.629599344</v>
      </c>
      <c r="J45" s="32">
        <f>IF($B17*$D17*J32&gt;0,$B17*$D17*J32,INDEX('Data inputs'!$B$29:$G$39,MATCH($A45,'Data inputs'!$A$29:$A$39,0),MATCH($A$1,'Data inputs'!$B$28:$G$28,0)))</f>
        <v>4902873.629599344</v>
      </c>
      <c r="K45" s="32">
        <f>IF($B17*$D17*K32&gt;0,$B17*$D17*K32,INDEX('Data inputs'!$B$29:$G$39,MATCH($A45,'Data inputs'!$A$29:$A$39,0),MATCH($A$1,'Data inputs'!$B$28:$G$28,0)))</f>
        <v>4902873.629599344</v>
      </c>
      <c r="L45" s="5">
        <f t="shared" si="16"/>
        <v>4902873.6295993449</v>
      </c>
      <c r="N45" s="5">
        <f t="shared" si="17"/>
        <v>4902873.629599344</v>
      </c>
    </row>
    <row r="46" spans="1:14" x14ac:dyDescent="0.25">
      <c r="A46" s="4" t="s">
        <v>11</v>
      </c>
      <c r="B46" s="32">
        <f>IF($B18*$D18*B33&gt;0,$B18*$D18*B33,INDEX('Data inputs'!$B$29:$G$39,MATCH($A46,'Data inputs'!$A$29:$A$39,0),MATCH($A$1,'Data inputs'!$B$28:$G$28,0)))</f>
        <v>0</v>
      </c>
      <c r="C46" s="32">
        <f>IF($B18*$D18*C33&gt;0,$B18*$D18*C33,INDEX('Data inputs'!$B$29:$G$39,MATCH($A46,'Data inputs'!$A$29:$A$39,0),MATCH($A$1,'Data inputs'!$B$28:$G$28,0)))</f>
        <v>0</v>
      </c>
      <c r="D46" s="32">
        <f>IF($B18*$D18*D33&gt;0,$B18*$D18*D33,INDEX('Data inputs'!$B$29:$G$39,MATCH($A46,'Data inputs'!$A$29:$A$39,0),MATCH($A$1,'Data inputs'!$B$28:$G$28,0)))</f>
        <v>0</v>
      </c>
      <c r="E46" s="32">
        <f>IF($B18*$D18*E33&gt;0,$B18*$D18*E33,INDEX('Data inputs'!$B$29:$G$39,MATCH($A46,'Data inputs'!$A$29:$A$39,0),MATCH($A$1,'Data inputs'!$B$28:$G$28,0)))</f>
        <v>0</v>
      </c>
      <c r="F46" s="32">
        <f>IF($B18*$D18*F33&gt;0,$B18*$D18*F33,INDEX('Data inputs'!$B$29:$G$39,MATCH($A46,'Data inputs'!$A$29:$A$39,0),MATCH($A$1,'Data inputs'!$B$28:$G$28,0)))</f>
        <v>0</v>
      </c>
      <c r="G46" s="32">
        <f>IF($B18*$D18*G33&gt;0,$B18*$D18*G33,INDEX('Data inputs'!$B$29:$G$39,MATCH($A46,'Data inputs'!$A$29:$A$39,0),MATCH($A$1,'Data inputs'!$B$28:$G$28,0)))</f>
        <v>0</v>
      </c>
      <c r="H46" s="32">
        <f>IF($B18*$D18*H33&gt;0,$B18*$D18*H33,INDEX('Data inputs'!$B$29:$G$39,MATCH($A46,'Data inputs'!$A$29:$A$39,0),MATCH($A$1,'Data inputs'!$B$28:$G$28,0)))</f>
        <v>0</v>
      </c>
      <c r="I46" s="32">
        <f>IF($B18*$D18*I33&gt;0,$B18*$D18*I33,INDEX('Data inputs'!$B$29:$G$39,MATCH($A46,'Data inputs'!$A$29:$A$39,0),MATCH($A$1,'Data inputs'!$B$28:$G$28,0)))</f>
        <v>0</v>
      </c>
      <c r="J46" s="32">
        <f>IF($B18*$D18*J33&gt;0,$B18*$D18*J33,INDEX('Data inputs'!$B$29:$G$39,MATCH($A46,'Data inputs'!$A$29:$A$39,0),MATCH($A$1,'Data inputs'!$B$28:$G$28,0)))</f>
        <v>0</v>
      </c>
      <c r="K46" s="32">
        <f>IF($B18*$D18*K33&gt;0,$B18*$D18*K33,INDEX('Data inputs'!$B$29:$G$39,MATCH($A46,'Data inputs'!$A$29:$A$39,0),MATCH($A$1,'Data inputs'!$B$28:$G$28,0)))</f>
        <v>0</v>
      </c>
      <c r="L46" s="5">
        <f t="shared" si="16"/>
        <v>0</v>
      </c>
      <c r="N46" s="5">
        <f t="shared" si="17"/>
        <v>0</v>
      </c>
    </row>
    <row r="47" spans="1:14" x14ac:dyDescent="0.25">
      <c r="A47" s="4" t="s">
        <v>124</v>
      </c>
      <c r="B47" s="32">
        <f>IF($B19*$D19*B34&gt;0,$B19*$D19*B34,INDEX('Data inputs'!$B$29:$G$39,MATCH($A47,'Data inputs'!$A$29:$A$39,0),MATCH($A$1,'Data inputs'!$B$28:$G$28,0)))</f>
        <v>2148814.9020560104</v>
      </c>
      <c r="C47" s="32">
        <f>IF($B19*$D19*C34&gt;0,$B19*$D19*C34,INDEX('Data inputs'!$B$29:$G$39,MATCH($A47,'Data inputs'!$A$29:$A$39,0),MATCH($A$1,'Data inputs'!$B$28:$G$28,0)))</f>
        <v>2148814.9020560104</v>
      </c>
      <c r="D47" s="32">
        <f>IF($B19*$D19*D34&gt;0,$B19*$D19*D34,INDEX('Data inputs'!$B$29:$G$39,MATCH($A47,'Data inputs'!$A$29:$A$39,0),MATCH($A$1,'Data inputs'!$B$28:$G$28,0)))</f>
        <v>2148814.9020560104</v>
      </c>
      <c r="E47" s="32">
        <f>IF($B19*$D19*E34&gt;0,$B19*$D19*E34,INDEX('Data inputs'!$B$29:$G$39,MATCH($A47,'Data inputs'!$A$29:$A$39,0),MATCH($A$1,'Data inputs'!$B$28:$G$28,0)))</f>
        <v>2148814.9020560104</v>
      </c>
      <c r="F47" s="32">
        <f>IF($B19*$D19*F34&gt;0,$B19*$D19*F34,INDEX('Data inputs'!$B$29:$G$39,MATCH($A47,'Data inputs'!$A$29:$A$39,0),MATCH($A$1,'Data inputs'!$B$28:$G$28,0)))</f>
        <v>2148814.9020560104</v>
      </c>
      <c r="G47" s="32">
        <f>IF($B19*$D19*G34&gt;0,$B19*$D19*G34,INDEX('Data inputs'!$B$29:$G$39,MATCH($A47,'Data inputs'!$A$29:$A$39,0),MATCH($A$1,'Data inputs'!$B$28:$G$28,0)))</f>
        <v>2148814.9020560104</v>
      </c>
      <c r="H47" s="32">
        <f>IF($B19*$D19*H34&gt;0,$B19*$D19*H34,INDEX('Data inputs'!$B$29:$G$39,MATCH($A47,'Data inputs'!$A$29:$A$39,0),MATCH($A$1,'Data inputs'!$B$28:$G$28,0)))</f>
        <v>2148814.9020560104</v>
      </c>
      <c r="I47" s="32">
        <f>IF($B19*$D19*I34&gt;0,$B19*$D19*I34,INDEX('Data inputs'!$B$29:$G$39,MATCH($A47,'Data inputs'!$A$29:$A$39,0),MATCH($A$1,'Data inputs'!$B$28:$G$28,0)))</f>
        <v>2148814.9020560104</v>
      </c>
      <c r="J47" s="32">
        <f>IF($B19*$D19*J34&gt;0,$B19*$D19*J34,INDEX('Data inputs'!$B$29:$G$39,MATCH($A47,'Data inputs'!$A$29:$A$39,0),MATCH($A$1,'Data inputs'!$B$28:$G$28,0)))</f>
        <v>2148814.9020560104</v>
      </c>
      <c r="K47" s="32">
        <f>IF($B19*$D19*K34&gt;0,$B19*$D19*K34,INDEX('Data inputs'!$B$29:$G$39,MATCH($A47,'Data inputs'!$A$29:$A$39,0),MATCH($A$1,'Data inputs'!$B$28:$G$28,0)))</f>
        <v>2148814.9020560104</v>
      </c>
      <c r="L47" s="5">
        <f t="shared" si="16"/>
        <v>2148814.90205601</v>
      </c>
      <c r="N47" s="5">
        <f t="shared" si="17"/>
        <v>2148814.9020560104</v>
      </c>
    </row>
    <row r="48" spans="1:14" x14ac:dyDescent="0.25">
      <c r="A48" s="4" t="s">
        <v>12</v>
      </c>
      <c r="B48" s="32">
        <f>IF($B20*$D20*B35&gt;0,$B20*$D20*B35,INDEX('Data inputs'!$B$29:$G$39,MATCH($A48,'Data inputs'!$A$29:$A$39,0),MATCH($A$1,'Data inputs'!$B$28:$G$28,0)))</f>
        <v>28194002.588429004</v>
      </c>
      <c r="C48" s="32">
        <f>IF($B20*$D20*C35&gt;0,$B20*$D20*C35,INDEX('Data inputs'!$B$29:$G$39,MATCH($A48,'Data inputs'!$A$29:$A$39,0),MATCH($A$1,'Data inputs'!$B$28:$G$28,0)))</f>
        <v>28194002.588429004</v>
      </c>
      <c r="D48" s="32">
        <f>IF($B20*$D20*D35&gt;0,$B20*$D20*D35,INDEX('Data inputs'!$B$29:$G$39,MATCH($A48,'Data inputs'!$A$29:$A$39,0),MATCH($A$1,'Data inputs'!$B$28:$G$28,0)))</f>
        <v>28194002.588429004</v>
      </c>
      <c r="E48" s="32">
        <f>IF($B20*$D20*E35&gt;0,$B20*$D20*E35,INDEX('Data inputs'!$B$29:$G$39,MATCH($A48,'Data inputs'!$A$29:$A$39,0),MATCH($A$1,'Data inputs'!$B$28:$G$28,0)))</f>
        <v>28194002.588429004</v>
      </c>
      <c r="F48" s="32">
        <f>IF($B20*$D20*F35&gt;0,$B20*$D20*F35,INDEX('Data inputs'!$B$29:$G$39,MATCH($A48,'Data inputs'!$A$29:$A$39,0),MATCH($A$1,'Data inputs'!$B$28:$G$28,0)))</f>
        <v>28194002.588429004</v>
      </c>
      <c r="G48" s="32">
        <f>IF($B20*$D20*G35&gt;0,$B20*$D20*G35,INDEX('Data inputs'!$B$29:$G$39,MATCH($A48,'Data inputs'!$A$29:$A$39,0),MATCH($A$1,'Data inputs'!$B$28:$G$28,0)))</f>
        <v>28194002.588429004</v>
      </c>
      <c r="H48" s="32">
        <f>IF($B20*$D20*H35&gt;0,$B20*$D20*H35,INDEX('Data inputs'!$B$29:$G$39,MATCH($A48,'Data inputs'!$A$29:$A$39,0),MATCH($A$1,'Data inputs'!$B$28:$G$28,0)))</f>
        <v>28194002.588429004</v>
      </c>
      <c r="I48" s="32">
        <f>IF($B20*$D20*I35&gt;0,$B20*$D20*I35,INDEX('Data inputs'!$B$29:$G$39,MATCH($A48,'Data inputs'!$A$29:$A$39,0),MATCH($A$1,'Data inputs'!$B$28:$G$28,0)))</f>
        <v>28194002.588429004</v>
      </c>
      <c r="J48" s="32">
        <f>IF($B20*$D20*J35&gt;0,$B20*$D20*J35,INDEX('Data inputs'!$B$29:$G$39,MATCH($A48,'Data inputs'!$A$29:$A$39,0),MATCH($A$1,'Data inputs'!$B$28:$G$28,0)))</f>
        <v>28194002.588429004</v>
      </c>
      <c r="K48" s="32">
        <f>IF($B20*$D20*K35&gt;0,$B20*$D20*K35,INDEX('Data inputs'!$B$29:$G$39,MATCH($A48,'Data inputs'!$A$29:$A$39,0),MATCH($A$1,'Data inputs'!$B$28:$G$28,0)))</f>
        <v>28194002.588429004</v>
      </c>
      <c r="L48" s="5">
        <f t="shared" si="16"/>
        <v>28194002.588429004</v>
      </c>
      <c r="N48" s="5">
        <f t="shared" si="17"/>
        <v>28194002.588429004</v>
      </c>
    </row>
    <row r="49" spans="1:14" x14ac:dyDescent="0.25">
      <c r="A49" s="4" t="s">
        <v>13</v>
      </c>
      <c r="B49" s="32">
        <f>IF($B21*$D21*B36&gt;0,$B21*$D21*B36,INDEX('Data inputs'!$B$29:$G$39,MATCH($A49,'Data inputs'!$A$29:$A$39,0),MATCH($A$1,'Data inputs'!$B$28:$G$28,0)))</f>
        <v>5078382.9124949528</v>
      </c>
      <c r="C49" s="32">
        <f>IF($B21*$D21*C36&gt;0,$B21*$D21*C36,INDEX('Data inputs'!$B$29:$G$39,MATCH($A49,'Data inputs'!$A$29:$A$39,0),MATCH($A$1,'Data inputs'!$B$28:$G$28,0)))</f>
        <v>5078382.9124949528</v>
      </c>
      <c r="D49" s="32">
        <f>IF($B21*$D21*D36&gt;0,$B21*$D21*D36,INDEX('Data inputs'!$B$29:$G$39,MATCH($A49,'Data inputs'!$A$29:$A$39,0),MATCH($A$1,'Data inputs'!$B$28:$G$28,0)))</f>
        <v>5078382.9124949528</v>
      </c>
      <c r="E49" s="32">
        <f>IF($B21*$D21*E36&gt;0,$B21*$D21*E36,INDEX('Data inputs'!$B$29:$G$39,MATCH($A49,'Data inputs'!$A$29:$A$39,0),MATCH($A$1,'Data inputs'!$B$28:$G$28,0)))</f>
        <v>5078382.9124949528</v>
      </c>
      <c r="F49" s="32">
        <f>IF($B21*$D21*F36&gt;0,$B21*$D21*F36,INDEX('Data inputs'!$B$29:$G$39,MATCH($A49,'Data inputs'!$A$29:$A$39,0),MATCH($A$1,'Data inputs'!$B$28:$G$28,0)))</f>
        <v>5078382.9124949528</v>
      </c>
      <c r="G49" s="32">
        <f>IF($B21*$D21*G36&gt;0,$B21*$D21*G36,INDEX('Data inputs'!$B$29:$G$39,MATCH($A49,'Data inputs'!$A$29:$A$39,0),MATCH($A$1,'Data inputs'!$B$28:$G$28,0)))</f>
        <v>5078382.9124949528</v>
      </c>
      <c r="H49" s="32">
        <f>IF($B21*$D21*H36&gt;0,$B21*$D21*H36,INDEX('Data inputs'!$B$29:$G$39,MATCH($A49,'Data inputs'!$A$29:$A$39,0),MATCH($A$1,'Data inputs'!$B$28:$G$28,0)))</f>
        <v>5078382.9124949528</v>
      </c>
      <c r="I49" s="32">
        <f>IF($B21*$D21*I36&gt;0,$B21*$D21*I36,INDEX('Data inputs'!$B$29:$G$39,MATCH($A49,'Data inputs'!$A$29:$A$39,0),MATCH($A$1,'Data inputs'!$B$28:$G$28,0)))</f>
        <v>5078382.9124949528</v>
      </c>
      <c r="J49" s="32">
        <f>IF($B21*$D21*J36&gt;0,$B21*$D21*J36,INDEX('Data inputs'!$B$29:$G$39,MATCH($A49,'Data inputs'!$A$29:$A$39,0),MATCH($A$1,'Data inputs'!$B$28:$G$28,0)))</f>
        <v>5078382.9124949528</v>
      </c>
      <c r="K49" s="32">
        <f>IF($B21*$D21*K36&gt;0,$B21*$D21*K36,INDEX('Data inputs'!$B$29:$G$39,MATCH($A49,'Data inputs'!$A$29:$A$39,0),MATCH($A$1,'Data inputs'!$B$28:$G$28,0)))</f>
        <v>5078382.9124949528</v>
      </c>
      <c r="L49" s="5">
        <f t="shared" si="16"/>
        <v>5078382.9124949519</v>
      </c>
      <c r="N49" s="5">
        <f t="shared" si="17"/>
        <v>5078382.9124949528</v>
      </c>
    </row>
    <row r="50" spans="1:14" x14ac:dyDescent="0.25">
      <c r="A50" s="4" t="s">
        <v>14</v>
      </c>
      <c r="B50" s="32">
        <f>IF($B22*$D22*B37&gt;0,$B22*$D22*B37,INDEX('Data inputs'!$B$29:$G$39,MATCH($A50,'Data inputs'!$A$29:$A$39,0),MATCH($A$1,'Data inputs'!$B$28:$G$28,0)))</f>
        <v>0</v>
      </c>
      <c r="C50" s="32">
        <f>IF($B22*$D22*C37&gt;0,$B22*$D22*C37,INDEX('Data inputs'!$B$29:$G$39,MATCH($A50,'Data inputs'!$A$29:$A$39,0),MATCH($A$1,'Data inputs'!$B$28:$G$28,0)))</f>
        <v>0</v>
      </c>
      <c r="D50" s="32">
        <f>IF($B22*$D22*D37&gt;0,$B22*$D22*D37,INDEX('Data inputs'!$B$29:$G$39,MATCH($A50,'Data inputs'!$A$29:$A$39,0),MATCH($A$1,'Data inputs'!$B$28:$G$28,0)))</f>
        <v>0</v>
      </c>
      <c r="E50" s="32">
        <f>IF($B22*$D22*E37&gt;0,$B22*$D22*E37,INDEX('Data inputs'!$B$29:$G$39,MATCH($A50,'Data inputs'!$A$29:$A$39,0),MATCH($A$1,'Data inputs'!$B$28:$G$28,0)))</f>
        <v>0</v>
      </c>
      <c r="F50" s="32">
        <f>IF($B22*$D22*F37&gt;0,$B22*$D22*F37,INDEX('Data inputs'!$B$29:$G$39,MATCH($A50,'Data inputs'!$A$29:$A$39,0),MATCH($A$1,'Data inputs'!$B$28:$G$28,0)))</f>
        <v>0</v>
      </c>
      <c r="G50" s="32">
        <f>IF($B22*$D22*G37&gt;0,$B22*$D22*G37,INDEX('Data inputs'!$B$29:$G$39,MATCH($A50,'Data inputs'!$A$29:$A$39,0),MATCH($A$1,'Data inputs'!$B$28:$G$28,0)))</f>
        <v>0</v>
      </c>
      <c r="H50" s="32">
        <f>IF($B22*$D22*H37&gt;0,$B22*$D22*H37,INDEX('Data inputs'!$B$29:$G$39,MATCH($A50,'Data inputs'!$A$29:$A$39,0),MATCH($A$1,'Data inputs'!$B$28:$G$28,0)))</f>
        <v>0</v>
      </c>
      <c r="I50" s="32">
        <f>IF($B22*$D22*I37&gt;0,$B22*$D22*I37,INDEX('Data inputs'!$B$29:$G$39,MATCH($A50,'Data inputs'!$A$29:$A$39,0),MATCH($A$1,'Data inputs'!$B$28:$G$28,0)))</f>
        <v>0</v>
      </c>
      <c r="J50" s="32">
        <f>IF($B22*$D22*J37&gt;0,$B22*$D22*J37,INDEX('Data inputs'!$B$29:$G$39,MATCH($A50,'Data inputs'!$A$29:$A$39,0),MATCH($A$1,'Data inputs'!$B$28:$G$28,0)))</f>
        <v>0</v>
      </c>
      <c r="K50" s="32">
        <f>IF($B22*$D22*K37&gt;0,$B22*$D22*K37,INDEX('Data inputs'!$B$29:$G$39,MATCH($A50,'Data inputs'!$A$29:$A$39,0),MATCH($A$1,'Data inputs'!$B$28:$G$28,0)))</f>
        <v>0</v>
      </c>
      <c r="L50" s="5">
        <f t="shared" si="16"/>
        <v>0</v>
      </c>
      <c r="N50" s="5">
        <f t="shared" si="17"/>
        <v>0</v>
      </c>
    </row>
    <row r="51" spans="1:14" x14ac:dyDescent="0.25">
      <c r="A51" s="4" t="s">
        <v>125</v>
      </c>
      <c r="B51" s="32">
        <f>IF($B23*$D23*B38&gt;0,$B23*$D23*B38,INDEX('Data inputs'!$B$29:$G$39,MATCH($A51,'Data inputs'!$A$29:$A$39,0),MATCH($A$1,'Data inputs'!$B$28:$G$28,0)))</f>
        <v>932424.62467035465</v>
      </c>
      <c r="C51" s="32">
        <f>IF($B23*$D23*C38&gt;0,$B23*$D23*C38,INDEX('Data inputs'!$B$29:$G$39,MATCH($A51,'Data inputs'!$A$29:$A$39,0),MATCH($A$1,'Data inputs'!$B$28:$G$28,0)))</f>
        <v>932424.62467035465</v>
      </c>
      <c r="D51" s="32">
        <f>IF($B23*$D23*D38&gt;0,$B23*$D23*D38,INDEX('Data inputs'!$B$29:$G$39,MATCH($A51,'Data inputs'!$A$29:$A$39,0),MATCH($A$1,'Data inputs'!$B$28:$G$28,0)))</f>
        <v>932424.62467035465</v>
      </c>
      <c r="E51" s="32">
        <f>IF($B23*$D23*E38&gt;0,$B23*$D23*E38,INDEX('Data inputs'!$B$29:$G$39,MATCH($A51,'Data inputs'!$A$29:$A$39,0),MATCH($A$1,'Data inputs'!$B$28:$G$28,0)))</f>
        <v>932424.62467035465</v>
      </c>
      <c r="F51" s="32">
        <f>IF($B23*$D23*F38&gt;0,$B23*$D23*F38,INDEX('Data inputs'!$B$29:$G$39,MATCH($A51,'Data inputs'!$A$29:$A$39,0),MATCH($A$1,'Data inputs'!$B$28:$G$28,0)))</f>
        <v>932424.62467035465</v>
      </c>
      <c r="G51" s="32">
        <f>IF($B23*$D23*G38&gt;0,$B23*$D23*G38,INDEX('Data inputs'!$B$29:$G$39,MATCH($A51,'Data inputs'!$A$29:$A$39,0),MATCH($A$1,'Data inputs'!$B$28:$G$28,0)))</f>
        <v>932424.62467035465</v>
      </c>
      <c r="H51" s="32">
        <f>IF($B23*$D23*H38&gt;0,$B23*$D23*H38,INDEX('Data inputs'!$B$29:$G$39,MATCH($A51,'Data inputs'!$A$29:$A$39,0),MATCH($A$1,'Data inputs'!$B$28:$G$28,0)))</f>
        <v>932424.62467035465</v>
      </c>
      <c r="I51" s="32">
        <f>IF($B23*$D23*I38&gt;0,$B23*$D23*I38,INDEX('Data inputs'!$B$29:$G$39,MATCH($A51,'Data inputs'!$A$29:$A$39,0),MATCH($A$1,'Data inputs'!$B$28:$G$28,0)))</f>
        <v>932424.62467035465</v>
      </c>
      <c r="J51" s="32">
        <f>IF($B23*$D23*J38&gt;0,$B23*$D23*J38,INDEX('Data inputs'!$B$29:$G$39,MATCH($A51,'Data inputs'!$A$29:$A$39,0),MATCH($A$1,'Data inputs'!$B$28:$G$28,0)))</f>
        <v>932424.62467035465</v>
      </c>
      <c r="K51" s="32">
        <f>IF($B23*$D23*K38&gt;0,$B23*$D23*K38,INDEX('Data inputs'!$B$29:$G$39,MATCH($A51,'Data inputs'!$A$29:$A$39,0),MATCH($A$1,'Data inputs'!$B$28:$G$28,0)))</f>
        <v>932424.62467035465</v>
      </c>
      <c r="L51" s="5">
        <f t="shared" si="16"/>
        <v>932424.62467035465</v>
      </c>
      <c r="N51" s="5">
        <f t="shared" si="17"/>
        <v>932424.62467035465</v>
      </c>
    </row>
    <row r="52" spans="1:14" x14ac:dyDescent="0.25">
      <c r="A52" s="4" t="s">
        <v>37</v>
      </c>
      <c r="B52" s="32">
        <f>IF($B24*$D24*B39&gt;0,$B24*$D24*B39,INDEX('Data inputs'!$B$29:$G$39,MATCH($A52,'Data inputs'!$A$29:$A$39,0),MATCH($A$1,'Data inputs'!$B$28:$G$28,0)))</f>
        <v>27121786.027833965</v>
      </c>
      <c r="C52" s="32">
        <f>IF($B24*$D24*C39&gt;0,$B24*$D24*C39,INDEX('Data inputs'!$B$29:$G$39,MATCH($A52,'Data inputs'!$A$29:$A$39,0),MATCH($A$1,'Data inputs'!$B$28:$G$28,0)))</f>
        <v>27121786.027833965</v>
      </c>
      <c r="D52" s="32">
        <f>IF($B24*$D24*D39&gt;0,$B24*$D24*D39,INDEX('Data inputs'!$B$29:$G$39,MATCH($A52,'Data inputs'!$A$29:$A$39,0),MATCH($A$1,'Data inputs'!$B$28:$G$28,0)))</f>
        <v>27121786.027833965</v>
      </c>
      <c r="E52" s="32">
        <f>IF($B24*$D24*E39&gt;0,$B24*$D24*E39,INDEX('Data inputs'!$B$29:$G$39,MATCH($A52,'Data inputs'!$A$29:$A$39,0),MATCH($A$1,'Data inputs'!$B$28:$G$28,0)))</f>
        <v>27121786.027833965</v>
      </c>
      <c r="F52" s="32">
        <f>IF($B24*$D24*F39&gt;0,$B24*$D24*F39,INDEX('Data inputs'!$B$29:$G$39,MATCH($A52,'Data inputs'!$A$29:$A$39,0),MATCH($A$1,'Data inputs'!$B$28:$G$28,0)))</f>
        <v>27121786.027833965</v>
      </c>
      <c r="G52" s="32">
        <f>IF($B24*$D24*G39&gt;0,$B24*$D24*G39,INDEX('Data inputs'!$B$29:$G$39,MATCH($A52,'Data inputs'!$A$29:$A$39,0),MATCH($A$1,'Data inputs'!$B$28:$G$28,0)))</f>
        <v>27121786.027833965</v>
      </c>
      <c r="H52" s="32">
        <f>IF($B24*$D24*H39&gt;0,$B24*$D24*H39,INDEX('Data inputs'!$B$29:$G$39,MATCH($A52,'Data inputs'!$A$29:$A$39,0),MATCH($A$1,'Data inputs'!$B$28:$G$28,0)))</f>
        <v>27121786.027833965</v>
      </c>
      <c r="I52" s="32">
        <f>IF($B24*$D24*I39&gt;0,$B24*$D24*I39,INDEX('Data inputs'!$B$29:$G$39,MATCH($A52,'Data inputs'!$A$29:$A$39,0),MATCH($A$1,'Data inputs'!$B$28:$G$28,0)))</f>
        <v>27121786.027833965</v>
      </c>
      <c r="J52" s="32">
        <f>IF($B24*$D24*J39&gt;0,$B24*$D24*J39,INDEX('Data inputs'!$B$29:$G$39,MATCH($A52,'Data inputs'!$A$29:$A$39,0),MATCH($A$1,'Data inputs'!$B$28:$G$28,0)))</f>
        <v>27121786.027833965</v>
      </c>
      <c r="K52" s="32">
        <f>IF($B24*$D24*K39&gt;0,$B24*$D24*K39,INDEX('Data inputs'!$B$29:$G$39,MATCH($A52,'Data inputs'!$A$29:$A$39,0),MATCH($A$1,'Data inputs'!$B$28:$G$28,0)))</f>
        <v>27121786.027833965</v>
      </c>
      <c r="L52" s="5">
        <f t="shared" si="16"/>
        <v>27121786.027833961</v>
      </c>
      <c r="N52" s="5">
        <f t="shared" si="17"/>
        <v>27121786.027833965</v>
      </c>
    </row>
    <row r="53" spans="1:14" x14ac:dyDescent="0.25">
      <c r="A53" s="4" t="s">
        <v>38</v>
      </c>
      <c r="B53" s="32">
        <f>IF($B25*$D25*B40&gt;0,$B25*$D25*B40,INDEX('Data inputs'!$B$29:$G$39,MATCH($A53,'Data inputs'!$A$29:$A$39,0),MATCH($A$1,'Data inputs'!$B$28:$G$28,0)))</f>
        <v>3635738.4660753431</v>
      </c>
      <c r="C53" s="32">
        <f>IF($B25*$D25*C40&gt;0,$B25*$D25*C40,INDEX('Data inputs'!$B$29:$G$39,MATCH($A53,'Data inputs'!$A$29:$A$39,0),MATCH($A$1,'Data inputs'!$B$28:$G$28,0)))</f>
        <v>3635738.4660753431</v>
      </c>
      <c r="D53" s="32">
        <f>IF($B25*$D25*D40&gt;0,$B25*$D25*D40,INDEX('Data inputs'!$B$29:$G$39,MATCH($A53,'Data inputs'!$A$29:$A$39,0),MATCH($A$1,'Data inputs'!$B$28:$G$28,0)))</f>
        <v>3635738.4660753431</v>
      </c>
      <c r="E53" s="32">
        <f>IF($B25*$D25*E40&gt;0,$B25*$D25*E40,INDEX('Data inputs'!$B$29:$G$39,MATCH($A53,'Data inputs'!$A$29:$A$39,0),MATCH($A$1,'Data inputs'!$B$28:$G$28,0)))</f>
        <v>3635738.4660753431</v>
      </c>
      <c r="F53" s="32">
        <f>IF($B25*$D25*F40&gt;0,$B25*$D25*F40,INDEX('Data inputs'!$B$29:$G$39,MATCH($A53,'Data inputs'!$A$29:$A$39,0),MATCH($A$1,'Data inputs'!$B$28:$G$28,0)))</f>
        <v>3635738.4660753431</v>
      </c>
      <c r="G53" s="32">
        <f>IF($B25*$D25*G40&gt;0,$B25*$D25*G40,INDEX('Data inputs'!$B$29:$G$39,MATCH($A53,'Data inputs'!$A$29:$A$39,0),MATCH($A$1,'Data inputs'!$B$28:$G$28,0)))</f>
        <v>3635738.4660753431</v>
      </c>
      <c r="H53" s="32">
        <f>IF($B25*$D25*H40&gt;0,$B25*$D25*H40,INDEX('Data inputs'!$B$29:$G$39,MATCH($A53,'Data inputs'!$A$29:$A$39,0),MATCH($A$1,'Data inputs'!$B$28:$G$28,0)))</f>
        <v>3635738.4660753431</v>
      </c>
      <c r="I53" s="32">
        <f>IF($B25*$D25*I40&gt;0,$B25*$D25*I40,INDEX('Data inputs'!$B$29:$G$39,MATCH($A53,'Data inputs'!$A$29:$A$39,0),MATCH($A$1,'Data inputs'!$B$28:$G$28,0)))</f>
        <v>3635738.4660753431</v>
      </c>
      <c r="J53" s="32">
        <f>IF($B25*$D25*J40&gt;0,$B25*$D25*J40,INDEX('Data inputs'!$B$29:$G$39,MATCH($A53,'Data inputs'!$A$29:$A$39,0),MATCH($A$1,'Data inputs'!$B$28:$G$28,0)))</f>
        <v>3635738.4660753431</v>
      </c>
      <c r="K53" s="32">
        <f>IF($B25*$D25*K40&gt;0,$B25*$D25*K40,INDEX('Data inputs'!$B$29:$G$39,MATCH($A53,'Data inputs'!$A$29:$A$39,0),MATCH($A$1,'Data inputs'!$B$28:$G$28,0)))</f>
        <v>3635738.4660753431</v>
      </c>
      <c r="L53" s="5">
        <f t="shared" si="16"/>
        <v>3635738.4660753431</v>
      </c>
      <c r="N53" s="5">
        <f t="shared" si="17"/>
        <v>3635738.4660753431</v>
      </c>
    </row>
    <row r="54" spans="1:14" x14ac:dyDescent="0.25">
      <c r="A54" s="4" t="s">
        <v>15</v>
      </c>
      <c r="B54" s="13">
        <f>IF($B26*$D26*B41&gt;0,$B26*$D26*B41,INDEX('Data inputs'!$B$29:$G$39,MATCH($A54,'Data inputs'!$A$29:$A$39,0),MATCH($A$1,'Data inputs'!$B$28:$G$28,0)))</f>
        <v>31455859.927527025</v>
      </c>
      <c r="C54" s="13">
        <f>IF($B26*$D26*C41&gt;0,$B26*$D26*C41,INDEX('Data inputs'!$B$29:$G$39,MATCH($A54,'Data inputs'!$A$29:$A$39,0),MATCH($A$1,'Data inputs'!$B$28:$G$28,0)))</f>
        <v>31455859.927527025</v>
      </c>
      <c r="D54" s="13">
        <f>IF($B26*$D26*D41&gt;0,$B26*$D26*D41,INDEX('Data inputs'!$B$29:$G$39,MATCH($A54,'Data inputs'!$A$29:$A$39,0),MATCH($A$1,'Data inputs'!$B$28:$G$28,0)))</f>
        <v>31455859.927527025</v>
      </c>
      <c r="E54" s="13">
        <f>IF($B26*$D26*E41&gt;0,$B26*$D26*E41,INDEX('Data inputs'!$B$29:$G$39,MATCH($A54,'Data inputs'!$A$29:$A$39,0),MATCH($A$1,'Data inputs'!$B$28:$G$28,0)))</f>
        <v>31455859.927527025</v>
      </c>
      <c r="F54" s="13">
        <f>IF($B26*$D26*F41&gt;0,$B26*$D26*F41,INDEX('Data inputs'!$B$29:$G$39,MATCH($A54,'Data inputs'!$A$29:$A$39,0),MATCH($A$1,'Data inputs'!$B$28:$G$28,0)))</f>
        <v>31455859.927527025</v>
      </c>
      <c r="G54" s="13">
        <f>IF($B26*$D26*G41&gt;0,$B26*$D26*G41,INDEX('Data inputs'!$B$29:$G$39,MATCH($A54,'Data inputs'!$A$29:$A$39,0),MATCH($A$1,'Data inputs'!$B$28:$G$28,0)))</f>
        <v>31455859.927527025</v>
      </c>
      <c r="H54" s="13">
        <f>IF($B26*$D26*H41&gt;0,$B26*$D26*H41,INDEX('Data inputs'!$B$29:$G$39,MATCH($A54,'Data inputs'!$A$29:$A$39,0),MATCH($A$1,'Data inputs'!$B$28:$G$28,0)))</f>
        <v>31455859.927527025</v>
      </c>
      <c r="I54" s="13">
        <f>IF($B26*$D26*I41&gt;0,$B26*$D26*I41,INDEX('Data inputs'!$B$29:$G$39,MATCH($A54,'Data inputs'!$A$29:$A$39,0),MATCH($A$1,'Data inputs'!$B$28:$G$28,0)))</f>
        <v>31455859.927527025</v>
      </c>
      <c r="J54" s="13">
        <f>IF($B26*$D26*J41&gt;0,$B26*$D26*J41,INDEX('Data inputs'!$B$29:$G$39,MATCH($A54,'Data inputs'!$A$29:$A$39,0),MATCH($A$1,'Data inputs'!$B$28:$G$28,0)))</f>
        <v>31455859.927527025</v>
      </c>
      <c r="K54" s="13">
        <f>IF($B26*$D26*K41&gt;0,$B26*$D26*K41,INDEX('Data inputs'!$B$29:$G$39,MATCH($A54,'Data inputs'!$A$29:$A$39,0),MATCH($A$1,'Data inputs'!$B$28:$G$28,0)))</f>
        <v>31455859.927527025</v>
      </c>
      <c r="L54" s="5">
        <f t="shared" si="16"/>
        <v>31455859.927527018</v>
      </c>
      <c r="N54" s="5">
        <f t="shared" si="17"/>
        <v>31455859.927527025</v>
      </c>
    </row>
    <row r="55" spans="1:14" x14ac:dyDescent="0.25">
      <c r="B55" s="5">
        <f t="shared" ref="B55:K55" si="18">SUM(B44:B54)</f>
        <v>112413739.23976564</v>
      </c>
      <c r="C55" s="5">
        <f t="shared" si="18"/>
        <v>112413739.23976564</v>
      </c>
      <c r="D55" s="5">
        <f t="shared" si="18"/>
        <v>112413739.23976564</v>
      </c>
      <c r="E55" s="5">
        <f t="shared" si="18"/>
        <v>112413739.23976564</v>
      </c>
      <c r="F55" s="5">
        <f t="shared" si="18"/>
        <v>112413739.23976564</v>
      </c>
      <c r="G55" s="5">
        <f t="shared" si="18"/>
        <v>112413739.23976564</v>
      </c>
      <c r="H55" s="5">
        <f t="shared" si="18"/>
        <v>112413739.23976564</v>
      </c>
      <c r="I55" s="5">
        <f t="shared" si="18"/>
        <v>112413739.23976564</v>
      </c>
      <c r="J55" s="5">
        <f t="shared" si="18"/>
        <v>112413739.23976564</v>
      </c>
      <c r="K55" s="5">
        <f t="shared" si="18"/>
        <v>112413739.23976564</v>
      </c>
      <c r="L55" s="5"/>
    </row>
    <row r="56" spans="1:14" x14ac:dyDescent="0.25">
      <c r="B56" s="5"/>
      <c r="C56" s="5"/>
      <c r="D56" s="5"/>
      <c r="E56" s="5"/>
      <c r="F56" s="5"/>
      <c r="G56" s="5"/>
      <c r="H56" s="5"/>
      <c r="I56" s="5"/>
      <c r="J56" s="5"/>
      <c r="K56" s="5"/>
      <c r="L56" s="5"/>
    </row>
    <row r="57" spans="1:14" s="1" customFormat="1" ht="30" x14ac:dyDescent="0.25">
      <c r="A57" s="15" t="s">
        <v>56</v>
      </c>
      <c r="B57" s="12" t="str">
        <f>'Summary dashboard'!C4</f>
        <v>2023</v>
      </c>
      <c r="C57" s="12">
        <f t="shared" ref="C57:K57" si="19">B57+1</f>
        <v>2024</v>
      </c>
      <c r="D57" s="12">
        <f t="shared" si="19"/>
        <v>2025</v>
      </c>
      <c r="E57" s="12">
        <f t="shared" si="19"/>
        <v>2026</v>
      </c>
      <c r="F57" s="12">
        <f t="shared" si="19"/>
        <v>2027</v>
      </c>
      <c r="G57" s="12">
        <f t="shared" si="19"/>
        <v>2028</v>
      </c>
      <c r="H57" s="12">
        <f t="shared" si="19"/>
        <v>2029</v>
      </c>
      <c r="I57" s="12">
        <f t="shared" si="19"/>
        <v>2030</v>
      </c>
      <c r="J57" s="12">
        <f t="shared" si="19"/>
        <v>2031</v>
      </c>
      <c r="K57" s="12">
        <f t="shared" si="19"/>
        <v>2032</v>
      </c>
      <c r="L57" s="1" t="s">
        <v>28</v>
      </c>
    </row>
    <row r="58" spans="1:14" x14ac:dyDescent="0.25">
      <c r="A58" s="4" t="s">
        <v>35</v>
      </c>
      <c r="B58" s="5">
        <f>B44*'Data inputs'!$B14</f>
        <v>6886769.2440313241</v>
      </c>
      <c r="C58" s="5">
        <f>C44*'Data inputs'!$B14</f>
        <v>6886769.2440313241</v>
      </c>
      <c r="D58" s="5">
        <f>D44*'Data inputs'!$B14</f>
        <v>6886769.2440313241</v>
      </c>
      <c r="E58" s="5">
        <f>E44*'Data inputs'!$B14</f>
        <v>6886769.2440313241</v>
      </c>
      <c r="F58" s="5">
        <f>F44*'Data inputs'!$B14</f>
        <v>6886769.2440313241</v>
      </c>
      <c r="G58" s="5">
        <f>G44*'Data inputs'!$B14</f>
        <v>6886769.2440313241</v>
      </c>
      <c r="H58" s="5">
        <f>H44*'Data inputs'!$B14</f>
        <v>6886769.2440313241</v>
      </c>
      <c r="I58" s="5">
        <f>I44*'Data inputs'!$B14</f>
        <v>6886769.2440313241</v>
      </c>
      <c r="J58" s="5">
        <f>J44*'Data inputs'!$B14</f>
        <v>6886769.2440313241</v>
      </c>
      <c r="K58" s="5">
        <f>K44*'Data inputs'!$B14</f>
        <v>6886769.2440313241</v>
      </c>
      <c r="L58" s="5">
        <f t="shared" ref="L58:L68" si="20">AVERAGE(B58:K58)</f>
        <v>6886769.2440313231</v>
      </c>
    </row>
    <row r="59" spans="1:14" x14ac:dyDescent="0.25">
      <c r="A59" s="4" t="s">
        <v>36</v>
      </c>
      <c r="B59" s="5">
        <f>B45*'Data inputs'!$B15</f>
        <v>1470862.0888798034</v>
      </c>
      <c r="C59" s="5">
        <f>C45*'Data inputs'!$B15</f>
        <v>1470862.0888798034</v>
      </c>
      <c r="D59" s="5">
        <f>D45*'Data inputs'!$B15</f>
        <v>1470862.0888798034</v>
      </c>
      <c r="E59" s="5">
        <f>E45*'Data inputs'!$B15</f>
        <v>1470862.0888798034</v>
      </c>
      <c r="F59" s="5">
        <f>F45*'Data inputs'!$B15</f>
        <v>1470862.0888798034</v>
      </c>
      <c r="G59" s="5">
        <f>G45*'Data inputs'!$B15</f>
        <v>1470862.0888798034</v>
      </c>
      <c r="H59" s="5">
        <f>H45*'Data inputs'!$B15</f>
        <v>1470862.0888798034</v>
      </c>
      <c r="I59" s="5">
        <f>I45*'Data inputs'!$B15</f>
        <v>1470862.0888798034</v>
      </c>
      <c r="J59" s="5">
        <f>J45*'Data inputs'!$B15</f>
        <v>1470862.0888798034</v>
      </c>
      <c r="K59" s="5">
        <f>K45*'Data inputs'!$B15</f>
        <v>1470862.0888798034</v>
      </c>
      <c r="L59" s="5">
        <f t="shared" si="20"/>
        <v>1470862.0888798034</v>
      </c>
    </row>
    <row r="60" spans="1:14" x14ac:dyDescent="0.25">
      <c r="A60" s="4" t="s">
        <v>11</v>
      </c>
      <c r="B60" s="5">
        <f>B46*'Data inputs'!$B16</f>
        <v>0</v>
      </c>
      <c r="C60" s="5">
        <f>C46*'Data inputs'!$B16</f>
        <v>0</v>
      </c>
      <c r="D60" s="5">
        <f>D46*'Data inputs'!$B16</f>
        <v>0</v>
      </c>
      <c r="E60" s="5">
        <f>E46*'Data inputs'!$B16</f>
        <v>0</v>
      </c>
      <c r="F60" s="5">
        <f>F46*'Data inputs'!$B16</f>
        <v>0</v>
      </c>
      <c r="G60" s="5">
        <f>G46*'Data inputs'!$B16</f>
        <v>0</v>
      </c>
      <c r="H60" s="5">
        <f>H46*'Data inputs'!$B16</f>
        <v>0</v>
      </c>
      <c r="I60" s="5">
        <f>I46*'Data inputs'!$B16</f>
        <v>0</v>
      </c>
      <c r="J60" s="5">
        <f>J46*'Data inputs'!$B16</f>
        <v>0</v>
      </c>
      <c r="K60" s="5">
        <f>K46*'Data inputs'!$B16</f>
        <v>0</v>
      </c>
      <c r="L60" s="5">
        <f t="shared" si="20"/>
        <v>0</v>
      </c>
    </row>
    <row r="61" spans="1:14" x14ac:dyDescent="0.25">
      <c r="A61" s="4" t="s">
        <v>124</v>
      </c>
      <c r="B61" s="5">
        <f>B47*'Data inputs'!$B17</f>
        <v>1719051.9216448083</v>
      </c>
      <c r="C61" s="5">
        <f>C47*'Data inputs'!$B17</f>
        <v>1719051.9216448083</v>
      </c>
      <c r="D61" s="5">
        <f>D47*'Data inputs'!$B17</f>
        <v>1719051.9216448083</v>
      </c>
      <c r="E61" s="5">
        <f>E47*'Data inputs'!$B17</f>
        <v>1719051.9216448083</v>
      </c>
      <c r="F61" s="5">
        <f>F47*'Data inputs'!$B17</f>
        <v>1719051.9216448083</v>
      </c>
      <c r="G61" s="5">
        <f>G47*'Data inputs'!$B17</f>
        <v>1719051.9216448083</v>
      </c>
      <c r="H61" s="5">
        <f>H47*'Data inputs'!$B17</f>
        <v>1719051.9216448083</v>
      </c>
      <c r="I61" s="5">
        <f>I47*'Data inputs'!$B17</f>
        <v>1719051.9216448083</v>
      </c>
      <c r="J61" s="5">
        <f>J47*'Data inputs'!$B17</f>
        <v>1719051.9216448083</v>
      </c>
      <c r="K61" s="5">
        <f>K47*'Data inputs'!$B17</f>
        <v>1719051.9216448083</v>
      </c>
      <c r="L61" s="5">
        <f t="shared" si="20"/>
        <v>1719051.9216448083</v>
      </c>
    </row>
    <row r="62" spans="1:14" x14ac:dyDescent="0.25">
      <c r="A62" s="4" t="s">
        <v>12</v>
      </c>
      <c r="B62" s="5">
        <f>B48*'Data inputs'!$B18</f>
        <v>2819400.2588429004</v>
      </c>
      <c r="C62" s="5">
        <f>C48*'Data inputs'!$B18</f>
        <v>2819400.2588429004</v>
      </c>
      <c r="D62" s="5">
        <f>D48*'Data inputs'!$B18</f>
        <v>2819400.2588429004</v>
      </c>
      <c r="E62" s="5">
        <f>E48*'Data inputs'!$B18</f>
        <v>2819400.2588429004</v>
      </c>
      <c r="F62" s="5">
        <f>F48*'Data inputs'!$B18</f>
        <v>2819400.2588429004</v>
      </c>
      <c r="G62" s="5">
        <f>G48*'Data inputs'!$B18</f>
        <v>2819400.2588429004</v>
      </c>
      <c r="H62" s="5">
        <f>H48*'Data inputs'!$B18</f>
        <v>2819400.2588429004</v>
      </c>
      <c r="I62" s="5">
        <f>I48*'Data inputs'!$B18</f>
        <v>2819400.2588429004</v>
      </c>
      <c r="J62" s="5">
        <f>J48*'Data inputs'!$B18</f>
        <v>2819400.2588429004</v>
      </c>
      <c r="K62" s="5">
        <f>K48*'Data inputs'!$B18</f>
        <v>2819400.2588429004</v>
      </c>
      <c r="L62" s="5">
        <f t="shared" si="20"/>
        <v>2819400.2588429004</v>
      </c>
    </row>
    <row r="63" spans="1:14" x14ac:dyDescent="0.25">
      <c r="A63" s="4" t="s">
        <v>13</v>
      </c>
      <c r="B63" s="5">
        <f>B49*'Data inputs'!$B19</f>
        <v>2031353.1649979812</v>
      </c>
      <c r="C63" s="5">
        <f>C49*'Data inputs'!$B19</f>
        <v>2031353.1649979812</v>
      </c>
      <c r="D63" s="5">
        <f>D49*'Data inputs'!$B19</f>
        <v>2031353.1649979812</v>
      </c>
      <c r="E63" s="5">
        <f>E49*'Data inputs'!$B19</f>
        <v>2031353.1649979812</v>
      </c>
      <c r="F63" s="5">
        <f>F49*'Data inputs'!$B19</f>
        <v>2031353.1649979812</v>
      </c>
      <c r="G63" s="5">
        <f>G49*'Data inputs'!$B19</f>
        <v>2031353.1649979812</v>
      </c>
      <c r="H63" s="5">
        <f>H49*'Data inputs'!$B19</f>
        <v>2031353.1649979812</v>
      </c>
      <c r="I63" s="5">
        <f>I49*'Data inputs'!$B19</f>
        <v>2031353.1649979812</v>
      </c>
      <c r="J63" s="5">
        <f>J49*'Data inputs'!$B19</f>
        <v>2031353.1649979812</v>
      </c>
      <c r="K63" s="5">
        <f>K49*'Data inputs'!$B19</f>
        <v>2031353.1649979812</v>
      </c>
      <c r="L63" s="5">
        <f t="shared" si="20"/>
        <v>2031353.1649979812</v>
      </c>
    </row>
    <row r="64" spans="1:14" x14ac:dyDescent="0.25">
      <c r="A64" s="4" t="s">
        <v>14</v>
      </c>
      <c r="B64" s="5">
        <f>B50*'Data inputs'!$B20</f>
        <v>0</v>
      </c>
      <c r="C64" s="5">
        <f>C50*'Data inputs'!$B20</f>
        <v>0</v>
      </c>
      <c r="D64" s="5">
        <f>D50*'Data inputs'!$B20</f>
        <v>0</v>
      </c>
      <c r="E64" s="5">
        <f>E50*'Data inputs'!$B20</f>
        <v>0</v>
      </c>
      <c r="F64" s="5">
        <f>F50*'Data inputs'!$B20</f>
        <v>0</v>
      </c>
      <c r="G64" s="5">
        <f>G50*'Data inputs'!$B20</f>
        <v>0</v>
      </c>
      <c r="H64" s="5">
        <f>H50*'Data inputs'!$B20</f>
        <v>0</v>
      </c>
      <c r="I64" s="5">
        <f>I50*'Data inputs'!$B20</f>
        <v>0</v>
      </c>
      <c r="J64" s="5">
        <f>J50*'Data inputs'!$B20</f>
        <v>0</v>
      </c>
      <c r="K64" s="5">
        <f>K50*'Data inputs'!$B20</f>
        <v>0</v>
      </c>
      <c r="L64" s="5">
        <f t="shared" si="20"/>
        <v>0</v>
      </c>
    </row>
    <row r="65" spans="1:12" x14ac:dyDescent="0.25">
      <c r="A65" s="4" t="s">
        <v>125</v>
      </c>
      <c r="B65" s="5">
        <f>B51*'Data inputs'!$B21</f>
        <v>745939.69973628363</v>
      </c>
      <c r="C65" s="5">
        <f>C51*'Data inputs'!$B21</f>
        <v>745939.69973628363</v>
      </c>
      <c r="D65" s="5">
        <f>D51*'Data inputs'!$B21</f>
        <v>745939.69973628363</v>
      </c>
      <c r="E65" s="5">
        <f>E51*'Data inputs'!$B21</f>
        <v>745939.69973628363</v>
      </c>
      <c r="F65" s="5">
        <f>F51*'Data inputs'!$B21</f>
        <v>745939.69973628363</v>
      </c>
      <c r="G65" s="5">
        <f>G51*'Data inputs'!$B21</f>
        <v>745939.69973628363</v>
      </c>
      <c r="H65" s="5">
        <f>H51*'Data inputs'!$B21</f>
        <v>745939.69973628363</v>
      </c>
      <c r="I65" s="5">
        <f>I51*'Data inputs'!$B21</f>
        <v>745939.69973628363</v>
      </c>
      <c r="J65" s="5">
        <f>J51*'Data inputs'!$B21</f>
        <v>745939.69973628363</v>
      </c>
      <c r="K65" s="5">
        <f>K51*'Data inputs'!$B21</f>
        <v>745939.69973628363</v>
      </c>
      <c r="L65" s="5">
        <f t="shared" si="20"/>
        <v>745939.69973628374</v>
      </c>
    </row>
    <row r="66" spans="1:12" x14ac:dyDescent="0.25">
      <c r="A66" s="4" t="s">
        <v>37</v>
      </c>
      <c r="B66" s="5">
        <f>B52*'Data inputs'!$B22</f>
        <v>17086725.197535399</v>
      </c>
      <c r="C66" s="5">
        <f>C52*'Data inputs'!$B22</f>
        <v>17086725.197535399</v>
      </c>
      <c r="D66" s="5">
        <f>D52*'Data inputs'!$B22</f>
        <v>17086725.197535399</v>
      </c>
      <c r="E66" s="5">
        <f>E52*'Data inputs'!$B22</f>
        <v>17086725.197535399</v>
      </c>
      <c r="F66" s="5">
        <f>F52*'Data inputs'!$B22</f>
        <v>17086725.197535399</v>
      </c>
      <c r="G66" s="5">
        <f>G52*'Data inputs'!$B22</f>
        <v>17086725.197535399</v>
      </c>
      <c r="H66" s="5">
        <f>H52*'Data inputs'!$B22</f>
        <v>17086725.197535399</v>
      </c>
      <c r="I66" s="5">
        <f>I52*'Data inputs'!$B22</f>
        <v>17086725.197535399</v>
      </c>
      <c r="J66" s="5">
        <f>J52*'Data inputs'!$B22</f>
        <v>17086725.197535399</v>
      </c>
      <c r="K66" s="5">
        <f>K52*'Data inputs'!$B22</f>
        <v>17086725.197535399</v>
      </c>
      <c r="L66" s="5">
        <f t="shared" si="20"/>
        <v>17086725.197535399</v>
      </c>
    </row>
    <row r="67" spans="1:12" x14ac:dyDescent="0.25">
      <c r="A67" s="4" t="s">
        <v>38</v>
      </c>
      <c r="B67" s="5">
        <f>B53*'Data inputs'!$B23</f>
        <v>363573.84660753433</v>
      </c>
      <c r="C67" s="5">
        <f>C53*'Data inputs'!$B23</f>
        <v>363573.84660753433</v>
      </c>
      <c r="D67" s="5">
        <f>D53*'Data inputs'!$B23</f>
        <v>363573.84660753433</v>
      </c>
      <c r="E67" s="5">
        <f>E53*'Data inputs'!$B23</f>
        <v>363573.84660753433</v>
      </c>
      <c r="F67" s="5">
        <f>F53*'Data inputs'!$B23</f>
        <v>363573.84660753433</v>
      </c>
      <c r="G67" s="5">
        <f>G53*'Data inputs'!$B23</f>
        <v>363573.84660753433</v>
      </c>
      <c r="H67" s="5">
        <f>H53*'Data inputs'!$B23</f>
        <v>363573.84660753433</v>
      </c>
      <c r="I67" s="5">
        <f>I53*'Data inputs'!$B23</f>
        <v>363573.84660753433</v>
      </c>
      <c r="J67" s="5">
        <f>J53*'Data inputs'!$B23</f>
        <v>363573.84660753433</v>
      </c>
      <c r="K67" s="5">
        <f>K53*'Data inputs'!$B23</f>
        <v>363573.84660753433</v>
      </c>
      <c r="L67" s="5">
        <f t="shared" si="20"/>
        <v>363573.84660753427</v>
      </c>
    </row>
    <row r="68" spans="1:12" x14ac:dyDescent="0.25">
      <c r="A68" s="4" t="s">
        <v>15</v>
      </c>
      <c r="B68" s="13">
        <f>B54*'Data inputs'!$B24</f>
        <v>12582343.971010812</v>
      </c>
      <c r="C68" s="13">
        <f>C54*'Data inputs'!$B24</f>
        <v>12582343.971010812</v>
      </c>
      <c r="D68" s="13">
        <f>D54*'Data inputs'!$B24</f>
        <v>12582343.971010812</v>
      </c>
      <c r="E68" s="13">
        <f>E54*'Data inputs'!$B24</f>
        <v>12582343.971010812</v>
      </c>
      <c r="F68" s="13">
        <f>F54*'Data inputs'!$B24</f>
        <v>12582343.971010812</v>
      </c>
      <c r="G68" s="13">
        <f>G54*'Data inputs'!$B24</f>
        <v>12582343.971010812</v>
      </c>
      <c r="H68" s="13">
        <f>H54*'Data inputs'!$B24</f>
        <v>12582343.971010812</v>
      </c>
      <c r="I68" s="13">
        <f>I54*'Data inputs'!$B24</f>
        <v>12582343.971010812</v>
      </c>
      <c r="J68" s="13">
        <f>J54*'Data inputs'!$B24</f>
        <v>12582343.971010812</v>
      </c>
      <c r="K68" s="13">
        <f>K54*'Data inputs'!$B24</f>
        <v>12582343.971010812</v>
      </c>
      <c r="L68" s="5">
        <f t="shared" si="20"/>
        <v>12582343.97101081</v>
      </c>
    </row>
    <row r="69" spans="1:12" x14ac:dyDescent="0.25">
      <c r="B69" s="5">
        <f t="shared" ref="B69:K69" si="21">SUM(B58:B68)</f>
        <v>45706019.393286847</v>
      </c>
      <c r="C69" s="5">
        <f t="shared" si="21"/>
        <v>45706019.393286847</v>
      </c>
      <c r="D69" s="5">
        <f t="shared" si="21"/>
        <v>45706019.393286847</v>
      </c>
      <c r="E69" s="5">
        <f t="shared" si="21"/>
        <v>45706019.393286847</v>
      </c>
      <c r="F69" s="5">
        <f t="shared" si="21"/>
        <v>45706019.393286847</v>
      </c>
      <c r="G69" s="5">
        <f t="shared" si="21"/>
        <v>45706019.393286847</v>
      </c>
      <c r="H69" s="5">
        <f t="shared" si="21"/>
        <v>45706019.393286847</v>
      </c>
      <c r="I69" s="5">
        <f t="shared" si="21"/>
        <v>45706019.393286847</v>
      </c>
      <c r="J69" s="5">
        <f t="shared" si="21"/>
        <v>45706019.393286847</v>
      </c>
      <c r="K69" s="5">
        <f t="shared" si="21"/>
        <v>45706019.393286847</v>
      </c>
      <c r="L69" s="5"/>
    </row>
    <row r="72" spans="1:12" ht="30" x14ac:dyDescent="0.25">
      <c r="A72" s="15" t="s">
        <v>57</v>
      </c>
      <c r="B72" s="12" t="str">
        <f>'Summary dashboard'!C4</f>
        <v>2023</v>
      </c>
      <c r="C72" s="12">
        <f t="shared" ref="C72:K72" si="22">B57+1</f>
        <v>2024</v>
      </c>
      <c r="D72" s="12">
        <f t="shared" si="22"/>
        <v>2025</v>
      </c>
      <c r="E72" s="12">
        <f t="shared" si="22"/>
        <v>2026</v>
      </c>
      <c r="F72" s="12">
        <f t="shared" si="22"/>
        <v>2027</v>
      </c>
      <c r="G72" s="12">
        <f t="shared" si="22"/>
        <v>2028</v>
      </c>
      <c r="H72" s="12">
        <f t="shared" si="22"/>
        <v>2029</v>
      </c>
      <c r="I72" s="12">
        <f t="shared" si="22"/>
        <v>2030</v>
      </c>
      <c r="J72" s="12">
        <f t="shared" si="22"/>
        <v>2031</v>
      </c>
      <c r="K72" s="12">
        <f t="shared" si="22"/>
        <v>2032</v>
      </c>
      <c r="L72" s="1" t="s">
        <v>28</v>
      </c>
    </row>
    <row r="73" spans="1:12" x14ac:dyDescent="0.25">
      <c r="A73" s="4" t="s">
        <v>35</v>
      </c>
      <c r="B73" s="5">
        <f>B44*'Data inputs'!$C14</f>
        <v>5097998.0118153961</v>
      </c>
      <c r="C73" s="5">
        <f>C44*'Data inputs'!$C14</f>
        <v>5097998.0118153961</v>
      </c>
      <c r="D73" s="5">
        <f>D44*'Data inputs'!$C14</f>
        <v>5097998.0118153961</v>
      </c>
      <c r="E73" s="5">
        <f>E44*'Data inputs'!$C14</f>
        <v>5097998.0118153961</v>
      </c>
      <c r="F73" s="5">
        <f>F44*'Data inputs'!$C14</f>
        <v>5097998.0118153961</v>
      </c>
      <c r="G73" s="5">
        <f>G44*'Data inputs'!$C14</f>
        <v>5097998.0118153961</v>
      </c>
      <c r="H73" s="5">
        <f>H44*'Data inputs'!$C14</f>
        <v>5097998.0118153961</v>
      </c>
      <c r="I73" s="5">
        <f>I44*'Data inputs'!$C14</f>
        <v>5097998.0118153961</v>
      </c>
      <c r="J73" s="5">
        <f>J44*'Data inputs'!$C14</f>
        <v>5097998.0118153961</v>
      </c>
      <c r="K73" s="5">
        <f>K44*'Data inputs'!$C14</f>
        <v>5097998.0118153961</v>
      </c>
      <c r="L73" s="5">
        <f>AVERAGE(B73:K73)</f>
        <v>5097998.0118153971</v>
      </c>
    </row>
    <row r="74" spans="1:12" x14ac:dyDescent="0.25">
      <c r="A74" s="4" t="s">
        <v>36</v>
      </c>
      <c r="B74" s="5">
        <f>B45*'Data inputs'!$C15</f>
        <v>490287.3629599344</v>
      </c>
      <c r="C74" s="5">
        <f>C45*'Data inputs'!$C15</f>
        <v>490287.3629599344</v>
      </c>
      <c r="D74" s="5">
        <f>D45*'Data inputs'!$C15</f>
        <v>490287.3629599344</v>
      </c>
      <c r="E74" s="5">
        <f>E45*'Data inputs'!$C15</f>
        <v>490287.3629599344</v>
      </c>
      <c r="F74" s="5">
        <f>F45*'Data inputs'!$C15</f>
        <v>490287.3629599344</v>
      </c>
      <c r="G74" s="5">
        <f>G45*'Data inputs'!$C15</f>
        <v>490287.3629599344</v>
      </c>
      <c r="H74" s="5">
        <f>H45*'Data inputs'!$C15</f>
        <v>490287.3629599344</v>
      </c>
      <c r="I74" s="5">
        <f>I45*'Data inputs'!$C15</f>
        <v>490287.3629599344</v>
      </c>
      <c r="J74" s="5">
        <f>J45*'Data inputs'!$C15</f>
        <v>490287.3629599344</v>
      </c>
      <c r="K74" s="5">
        <f>K45*'Data inputs'!$C15</f>
        <v>490287.3629599344</v>
      </c>
      <c r="L74" s="5">
        <f t="shared" ref="L74:L83" si="23">AVERAGE(B74:K74)</f>
        <v>490287.3629599344</v>
      </c>
    </row>
    <row r="75" spans="1:12" x14ac:dyDescent="0.25">
      <c r="A75" s="4" t="s">
        <v>11</v>
      </c>
      <c r="B75" s="5">
        <f>B46*'Data inputs'!$C16</f>
        <v>0</v>
      </c>
      <c r="C75" s="5">
        <f>C46*'Data inputs'!$C16</f>
        <v>0</v>
      </c>
      <c r="D75" s="5">
        <f>D46*'Data inputs'!$C16</f>
        <v>0</v>
      </c>
      <c r="E75" s="5">
        <f>E46*'Data inputs'!$C16</f>
        <v>0</v>
      </c>
      <c r="F75" s="5">
        <f>F46*'Data inputs'!$C16</f>
        <v>0</v>
      </c>
      <c r="G75" s="5">
        <f>G46*'Data inputs'!$C16</f>
        <v>0</v>
      </c>
      <c r="H75" s="5">
        <f>H46*'Data inputs'!$C16</f>
        <v>0</v>
      </c>
      <c r="I75" s="5">
        <f>I46*'Data inputs'!$C16</f>
        <v>0</v>
      </c>
      <c r="J75" s="5">
        <f>J46*'Data inputs'!$C16</f>
        <v>0</v>
      </c>
      <c r="K75" s="5">
        <f>K46*'Data inputs'!$C16</f>
        <v>0</v>
      </c>
      <c r="L75" s="5">
        <f t="shared" si="23"/>
        <v>0</v>
      </c>
    </row>
    <row r="76" spans="1:12" x14ac:dyDescent="0.25">
      <c r="A76" s="4" t="s">
        <v>124</v>
      </c>
      <c r="B76" s="5">
        <f>B47*'Data inputs'!$C17</f>
        <v>1289288.9412336063</v>
      </c>
      <c r="C76" s="5">
        <f>C47*'Data inputs'!$C17</f>
        <v>1289288.9412336063</v>
      </c>
      <c r="D76" s="5">
        <f>D47*'Data inputs'!$C17</f>
        <v>1289288.9412336063</v>
      </c>
      <c r="E76" s="5">
        <f>E47*'Data inputs'!$C17</f>
        <v>1289288.9412336063</v>
      </c>
      <c r="F76" s="5">
        <f>F47*'Data inputs'!$C17</f>
        <v>1289288.9412336063</v>
      </c>
      <c r="G76" s="5">
        <f>G47*'Data inputs'!$C17</f>
        <v>1289288.9412336063</v>
      </c>
      <c r="H76" s="5">
        <f>H47*'Data inputs'!$C17</f>
        <v>1289288.9412336063</v>
      </c>
      <c r="I76" s="5">
        <f>I47*'Data inputs'!$C17</f>
        <v>1289288.9412336063</v>
      </c>
      <c r="J76" s="5">
        <f>J47*'Data inputs'!$C17</f>
        <v>1289288.9412336063</v>
      </c>
      <c r="K76" s="5">
        <f>K47*'Data inputs'!$C17</f>
        <v>1289288.9412336063</v>
      </c>
      <c r="L76" s="5">
        <f t="shared" si="23"/>
        <v>1289288.9412336065</v>
      </c>
    </row>
    <row r="77" spans="1:12" x14ac:dyDescent="0.25">
      <c r="A77" s="4" t="s">
        <v>12</v>
      </c>
      <c r="B77" s="5">
        <f>B48*'Data inputs'!$C18</f>
        <v>0</v>
      </c>
      <c r="C77" s="5">
        <f>C48*'Data inputs'!$C18</f>
        <v>0</v>
      </c>
      <c r="D77" s="5">
        <f>D48*'Data inputs'!$C18</f>
        <v>0</v>
      </c>
      <c r="E77" s="5">
        <f>E48*'Data inputs'!$C18</f>
        <v>0</v>
      </c>
      <c r="F77" s="5">
        <f>F48*'Data inputs'!$C18</f>
        <v>0</v>
      </c>
      <c r="G77" s="5">
        <f>G48*'Data inputs'!$C18</f>
        <v>0</v>
      </c>
      <c r="H77" s="5">
        <f>H48*'Data inputs'!$C18</f>
        <v>0</v>
      </c>
      <c r="I77" s="5">
        <f>I48*'Data inputs'!$C18</f>
        <v>0</v>
      </c>
      <c r="J77" s="5">
        <f>J48*'Data inputs'!$C18</f>
        <v>0</v>
      </c>
      <c r="K77" s="5">
        <f>K48*'Data inputs'!$C18</f>
        <v>0</v>
      </c>
      <c r="L77" s="5">
        <f t="shared" si="23"/>
        <v>0</v>
      </c>
    </row>
    <row r="78" spans="1:12" x14ac:dyDescent="0.25">
      <c r="A78" s="4" t="s">
        <v>13</v>
      </c>
      <c r="B78" s="5">
        <f>B49*'Data inputs'!$C19</f>
        <v>1015676.5824989905</v>
      </c>
      <c r="C78" s="5">
        <f>C49*'Data inputs'!$C19</f>
        <v>1015676.5824989905</v>
      </c>
      <c r="D78" s="5">
        <f>D49*'Data inputs'!$C19</f>
        <v>1015676.5824989905</v>
      </c>
      <c r="E78" s="5">
        <f>E49*'Data inputs'!$C19</f>
        <v>1015676.5824989905</v>
      </c>
      <c r="F78" s="5">
        <f>F49*'Data inputs'!$C19</f>
        <v>1015676.5824989905</v>
      </c>
      <c r="G78" s="5">
        <f>G49*'Data inputs'!$C19</f>
        <v>1015676.5824989905</v>
      </c>
      <c r="H78" s="5">
        <f>H49*'Data inputs'!$C19</f>
        <v>1015676.5824989905</v>
      </c>
      <c r="I78" s="5">
        <f>I49*'Data inputs'!$C19</f>
        <v>1015676.5824989905</v>
      </c>
      <c r="J78" s="5">
        <f>J49*'Data inputs'!$C19</f>
        <v>1015676.5824989905</v>
      </c>
      <c r="K78" s="5">
        <f>K49*'Data inputs'!$C19</f>
        <v>1015676.5824989905</v>
      </c>
      <c r="L78" s="5">
        <f t="shared" si="23"/>
        <v>1015676.5824989902</v>
      </c>
    </row>
    <row r="79" spans="1:12" x14ac:dyDescent="0.25">
      <c r="A79" s="4" t="s">
        <v>14</v>
      </c>
      <c r="B79" s="5">
        <f>B50*'Data inputs'!$C20</f>
        <v>0</v>
      </c>
      <c r="C79" s="5">
        <f>C50*'Data inputs'!$C20</f>
        <v>0</v>
      </c>
      <c r="D79" s="5">
        <f>D50*'Data inputs'!$C20</f>
        <v>0</v>
      </c>
      <c r="E79" s="5">
        <f>E50*'Data inputs'!$C20</f>
        <v>0</v>
      </c>
      <c r="F79" s="5">
        <f>F50*'Data inputs'!$C20</f>
        <v>0</v>
      </c>
      <c r="G79" s="5">
        <f>G50*'Data inputs'!$C20</f>
        <v>0</v>
      </c>
      <c r="H79" s="5">
        <f>H50*'Data inputs'!$C20</f>
        <v>0</v>
      </c>
      <c r="I79" s="5">
        <f>I50*'Data inputs'!$C20</f>
        <v>0</v>
      </c>
      <c r="J79" s="5">
        <f>J50*'Data inputs'!$C20</f>
        <v>0</v>
      </c>
      <c r="K79" s="5">
        <f>K50*'Data inputs'!$C20</f>
        <v>0</v>
      </c>
      <c r="L79" s="5">
        <f t="shared" si="23"/>
        <v>0</v>
      </c>
    </row>
    <row r="80" spans="1:12" x14ac:dyDescent="0.25">
      <c r="A80" s="4" t="s">
        <v>125</v>
      </c>
      <c r="B80" s="5">
        <f>B51*'Data inputs'!$C21</f>
        <v>559454.77480221272</v>
      </c>
      <c r="C80" s="5">
        <f>C51*'Data inputs'!$C21</f>
        <v>559454.77480221272</v>
      </c>
      <c r="D80" s="5">
        <f>D51*'Data inputs'!$C21</f>
        <v>559454.77480221272</v>
      </c>
      <c r="E80" s="5">
        <f>E51*'Data inputs'!$C21</f>
        <v>559454.77480221272</v>
      </c>
      <c r="F80" s="5">
        <f>F51*'Data inputs'!$C21</f>
        <v>559454.77480221272</v>
      </c>
      <c r="G80" s="5">
        <f>G51*'Data inputs'!$C21</f>
        <v>559454.77480221272</v>
      </c>
      <c r="H80" s="5">
        <f>H51*'Data inputs'!$C21</f>
        <v>559454.77480221272</v>
      </c>
      <c r="I80" s="5">
        <f>I51*'Data inputs'!$C21</f>
        <v>559454.77480221272</v>
      </c>
      <c r="J80" s="5">
        <f>J51*'Data inputs'!$C21</f>
        <v>559454.77480221272</v>
      </c>
      <c r="K80" s="5">
        <f>K51*'Data inputs'!$C21</f>
        <v>559454.77480221272</v>
      </c>
      <c r="L80" s="5">
        <f t="shared" si="23"/>
        <v>559454.77480221272</v>
      </c>
    </row>
    <row r="81" spans="1:12" x14ac:dyDescent="0.25">
      <c r="A81" s="4" t="s">
        <v>37</v>
      </c>
      <c r="B81" s="5">
        <f>B52*'Data inputs'!$C22</f>
        <v>11662367.991968606</v>
      </c>
      <c r="C81" s="5">
        <f>C52*'Data inputs'!$C22</f>
        <v>11662367.991968606</v>
      </c>
      <c r="D81" s="5">
        <f>D52*'Data inputs'!$C22</f>
        <v>11662367.991968606</v>
      </c>
      <c r="E81" s="5">
        <f>E52*'Data inputs'!$C22</f>
        <v>11662367.991968606</v>
      </c>
      <c r="F81" s="5">
        <f>F52*'Data inputs'!$C22</f>
        <v>11662367.991968606</v>
      </c>
      <c r="G81" s="5">
        <f>G52*'Data inputs'!$C22</f>
        <v>11662367.991968606</v>
      </c>
      <c r="H81" s="5">
        <f>H52*'Data inputs'!$C22</f>
        <v>11662367.991968606</v>
      </c>
      <c r="I81" s="5">
        <f>I52*'Data inputs'!$C22</f>
        <v>11662367.991968606</v>
      </c>
      <c r="J81" s="5">
        <f>J52*'Data inputs'!$C22</f>
        <v>11662367.991968606</v>
      </c>
      <c r="K81" s="5">
        <f>K52*'Data inputs'!$C22</f>
        <v>11662367.991968606</v>
      </c>
      <c r="L81" s="5">
        <f t="shared" si="23"/>
        <v>11662367.991968604</v>
      </c>
    </row>
    <row r="82" spans="1:12" x14ac:dyDescent="0.25">
      <c r="A82" s="4" t="s">
        <v>38</v>
      </c>
      <c r="B82" s="5">
        <f>B53*'Data inputs'!$C23</f>
        <v>0</v>
      </c>
      <c r="C82" s="5">
        <f>C53*'Data inputs'!$C23</f>
        <v>0</v>
      </c>
      <c r="D82" s="5">
        <f>D53*'Data inputs'!$C23</f>
        <v>0</v>
      </c>
      <c r="E82" s="5">
        <f>E53*'Data inputs'!$C23</f>
        <v>0</v>
      </c>
      <c r="F82" s="5">
        <f>F53*'Data inputs'!$C23</f>
        <v>0</v>
      </c>
      <c r="G82" s="5">
        <f>G53*'Data inputs'!$C23</f>
        <v>0</v>
      </c>
      <c r="H82" s="5">
        <f>H53*'Data inputs'!$C23</f>
        <v>0</v>
      </c>
      <c r="I82" s="5">
        <f>I53*'Data inputs'!$C23</f>
        <v>0</v>
      </c>
      <c r="J82" s="5">
        <f>J53*'Data inputs'!$C23</f>
        <v>0</v>
      </c>
      <c r="K82" s="5">
        <f>K53*'Data inputs'!$C23</f>
        <v>0</v>
      </c>
      <c r="L82" s="5">
        <f t="shared" si="23"/>
        <v>0</v>
      </c>
    </row>
    <row r="83" spans="1:12" x14ac:dyDescent="0.25">
      <c r="A83" s="4" t="s">
        <v>15</v>
      </c>
      <c r="B83" s="13">
        <f>B54*'Data inputs'!$C24</f>
        <v>6291171.9855054049</v>
      </c>
      <c r="C83" s="13">
        <f>C54*'Data inputs'!$C24</f>
        <v>6291171.9855054049</v>
      </c>
      <c r="D83" s="13">
        <f>D54*'Data inputs'!$C24</f>
        <v>6291171.9855054049</v>
      </c>
      <c r="E83" s="13">
        <f>E54*'Data inputs'!$C24</f>
        <v>6291171.9855054049</v>
      </c>
      <c r="F83" s="13">
        <f>F54*'Data inputs'!$C24</f>
        <v>6291171.9855054049</v>
      </c>
      <c r="G83" s="13">
        <f>G54*'Data inputs'!$C24</f>
        <v>6291171.9855054049</v>
      </c>
      <c r="H83" s="13">
        <f>H54*'Data inputs'!$C24</f>
        <v>6291171.9855054049</v>
      </c>
      <c r="I83" s="13">
        <f>I54*'Data inputs'!$C24</f>
        <v>6291171.9855054049</v>
      </c>
      <c r="J83" s="13">
        <f>J54*'Data inputs'!$C24</f>
        <v>6291171.9855054049</v>
      </c>
      <c r="K83" s="13">
        <f>K54*'Data inputs'!$C24</f>
        <v>6291171.9855054049</v>
      </c>
      <c r="L83" s="5">
        <f t="shared" si="23"/>
        <v>6291171.985505404</v>
      </c>
    </row>
    <row r="84" spans="1:12" x14ac:dyDescent="0.25">
      <c r="B84" s="5">
        <f>SUM(B73:B83)</f>
        <v>26406245.650784153</v>
      </c>
      <c r="C84" s="5">
        <f t="shared" ref="C84:K84" si="24">SUM(C73:C83)</f>
        <v>26406245.650784153</v>
      </c>
      <c r="D84" s="5">
        <f t="shared" si="24"/>
        <v>26406245.650784153</v>
      </c>
      <c r="E84" s="5">
        <f t="shared" si="24"/>
        <v>26406245.650784153</v>
      </c>
      <c r="F84" s="5">
        <f t="shared" si="24"/>
        <v>26406245.650784153</v>
      </c>
      <c r="G84" s="5">
        <f t="shared" si="24"/>
        <v>26406245.650784153</v>
      </c>
      <c r="H84" s="5">
        <f t="shared" si="24"/>
        <v>26406245.650784153</v>
      </c>
      <c r="I84" s="5">
        <f t="shared" si="24"/>
        <v>26406245.650784153</v>
      </c>
      <c r="J84" s="5">
        <f t="shared" si="24"/>
        <v>26406245.650784153</v>
      </c>
      <c r="K84" s="5">
        <f t="shared" si="24"/>
        <v>26406245.650784153</v>
      </c>
      <c r="L84" s="5"/>
    </row>
    <row r="86" spans="1:12" ht="30" x14ac:dyDescent="0.25">
      <c r="A86" s="15" t="s">
        <v>58</v>
      </c>
      <c r="B86" s="12" t="str">
        <f>'Summary dashboard'!C4</f>
        <v>2023</v>
      </c>
      <c r="C86" s="49">
        <f t="shared" ref="C86:K86" si="25">B86+1</f>
        <v>2024</v>
      </c>
      <c r="D86" s="49">
        <f t="shared" si="25"/>
        <v>2025</v>
      </c>
      <c r="E86" s="49">
        <f t="shared" si="25"/>
        <v>2026</v>
      </c>
      <c r="F86" s="49">
        <f t="shared" si="25"/>
        <v>2027</v>
      </c>
      <c r="G86" s="49">
        <f t="shared" si="25"/>
        <v>2028</v>
      </c>
      <c r="H86" s="49">
        <f t="shared" si="25"/>
        <v>2029</v>
      </c>
      <c r="I86" s="49">
        <f t="shared" si="25"/>
        <v>2030</v>
      </c>
      <c r="J86" s="49">
        <f t="shared" si="25"/>
        <v>2031</v>
      </c>
      <c r="K86" s="49">
        <f t="shared" si="25"/>
        <v>2032</v>
      </c>
      <c r="L86" s="1" t="s">
        <v>28</v>
      </c>
    </row>
    <row r="87" spans="1:12" x14ac:dyDescent="0.25">
      <c r="A87" s="4" t="s">
        <v>35</v>
      </c>
      <c r="B87" s="5">
        <f>(B73+B58)/2</f>
        <v>5992383.6279233601</v>
      </c>
      <c r="C87" s="5">
        <f t="shared" ref="C87:K87" si="26">(C73+C58)/2</f>
        <v>5992383.6279233601</v>
      </c>
      <c r="D87" s="5">
        <f t="shared" si="26"/>
        <v>5992383.6279233601</v>
      </c>
      <c r="E87" s="5">
        <f t="shared" si="26"/>
        <v>5992383.6279233601</v>
      </c>
      <c r="F87" s="5">
        <f t="shared" si="26"/>
        <v>5992383.6279233601</v>
      </c>
      <c r="G87" s="5">
        <f t="shared" si="26"/>
        <v>5992383.6279233601</v>
      </c>
      <c r="H87" s="5">
        <f t="shared" si="26"/>
        <v>5992383.6279233601</v>
      </c>
      <c r="I87" s="5">
        <f t="shared" si="26"/>
        <v>5992383.6279233601</v>
      </c>
      <c r="J87" s="5">
        <f t="shared" si="26"/>
        <v>5992383.6279233601</v>
      </c>
      <c r="K87" s="5">
        <f t="shared" si="26"/>
        <v>5992383.6279233601</v>
      </c>
      <c r="L87" s="5">
        <f t="shared" ref="L87:L97" si="27">AVERAGE(B87:K87)</f>
        <v>5992383.627923361</v>
      </c>
    </row>
    <row r="88" spans="1:12" x14ac:dyDescent="0.25">
      <c r="A88" s="4" t="s">
        <v>36</v>
      </c>
      <c r="B88" s="5">
        <f t="shared" ref="B88:K97" si="28">(B74+B59)/2</f>
        <v>980574.72591986891</v>
      </c>
      <c r="C88" s="5">
        <f t="shared" si="28"/>
        <v>980574.72591986891</v>
      </c>
      <c r="D88" s="5">
        <f t="shared" si="28"/>
        <v>980574.72591986891</v>
      </c>
      <c r="E88" s="5">
        <f t="shared" si="28"/>
        <v>980574.72591986891</v>
      </c>
      <c r="F88" s="5">
        <f t="shared" si="28"/>
        <v>980574.72591986891</v>
      </c>
      <c r="G88" s="5">
        <f t="shared" si="28"/>
        <v>980574.72591986891</v>
      </c>
      <c r="H88" s="5">
        <f t="shared" si="28"/>
        <v>980574.72591986891</v>
      </c>
      <c r="I88" s="5">
        <f t="shared" si="28"/>
        <v>980574.72591986891</v>
      </c>
      <c r="J88" s="5">
        <f t="shared" si="28"/>
        <v>980574.72591986891</v>
      </c>
      <c r="K88" s="5">
        <f t="shared" si="28"/>
        <v>980574.72591986891</v>
      </c>
      <c r="L88" s="5">
        <f t="shared" si="27"/>
        <v>980574.72591986903</v>
      </c>
    </row>
    <row r="89" spans="1:12" x14ac:dyDescent="0.25">
      <c r="A89" s="4" t="s">
        <v>11</v>
      </c>
      <c r="B89" s="5">
        <f t="shared" si="28"/>
        <v>0</v>
      </c>
      <c r="C89" s="5">
        <f t="shared" si="28"/>
        <v>0</v>
      </c>
      <c r="D89" s="5">
        <f t="shared" si="28"/>
        <v>0</v>
      </c>
      <c r="E89" s="5">
        <f t="shared" si="28"/>
        <v>0</v>
      </c>
      <c r="F89" s="5">
        <f t="shared" si="28"/>
        <v>0</v>
      </c>
      <c r="G89" s="5">
        <f t="shared" si="28"/>
        <v>0</v>
      </c>
      <c r="H89" s="5">
        <f t="shared" si="28"/>
        <v>0</v>
      </c>
      <c r="I89" s="5">
        <f t="shared" si="28"/>
        <v>0</v>
      </c>
      <c r="J89" s="5">
        <f t="shared" si="28"/>
        <v>0</v>
      </c>
      <c r="K89" s="5">
        <f t="shared" si="28"/>
        <v>0</v>
      </c>
      <c r="L89" s="5">
        <f t="shared" si="27"/>
        <v>0</v>
      </c>
    </row>
    <row r="90" spans="1:12" x14ac:dyDescent="0.25">
      <c r="A90" s="4" t="s">
        <v>124</v>
      </c>
      <c r="B90" s="5">
        <f t="shared" si="28"/>
        <v>1504170.4314392074</v>
      </c>
      <c r="C90" s="5">
        <f t="shared" si="28"/>
        <v>1504170.4314392074</v>
      </c>
      <c r="D90" s="5">
        <f t="shared" si="28"/>
        <v>1504170.4314392074</v>
      </c>
      <c r="E90" s="5">
        <f t="shared" si="28"/>
        <v>1504170.4314392074</v>
      </c>
      <c r="F90" s="5">
        <f t="shared" si="28"/>
        <v>1504170.4314392074</v>
      </c>
      <c r="G90" s="5">
        <f t="shared" si="28"/>
        <v>1504170.4314392074</v>
      </c>
      <c r="H90" s="5">
        <f t="shared" si="28"/>
        <v>1504170.4314392074</v>
      </c>
      <c r="I90" s="5">
        <f t="shared" si="28"/>
        <v>1504170.4314392074</v>
      </c>
      <c r="J90" s="5">
        <f t="shared" si="28"/>
        <v>1504170.4314392074</v>
      </c>
      <c r="K90" s="5">
        <f t="shared" si="28"/>
        <v>1504170.4314392074</v>
      </c>
      <c r="L90" s="5">
        <f t="shared" si="27"/>
        <v>1504170.4314392076</v>
      </c>
    </row>
    <row r="91" spans="1:12" x14ac:dyDescent="0.25">
      <c r="A91" s="4" t="s">
        <v>12</v>
      </c>
      <c r="B91" s="5">
        <f t="shared" si="28"/>
        <v>1409700.1294214502</v>
      </c>
      <c r="C91" s="5">
        <f t="shared" si="28"/>
        <v>1409700.1294214502</v>
      </c>
      <c r="D91" s="5">
        <f t="shared" si="28"/>
        <v>1409700.1294214502</v>
      </c>
      <c r="E91" s="5">
        <f t="shared" si="28"/>
        <v>1409700.1294214502</v>
      </c>
      <c r="F91" s="5">
        <f t="shared" si="28"/>
        <v>1409700.1294214502</v>
      </c>
      <c r="G91" s="5">
        <f t="shared" si="28"/>
        <v>1409700.1294214502</v>
      </c>
      <c r="H91" s="5">
        <f t="shared" si="28"/>
        <v>1409700.1294214502</v>
      </c>
      <c r="I91" s="5">
        <f t="shared" si="28"/>
        <v>1409700.1294214502</v>
      </c>
      <c r="J91" s="5">
        <f t="shared" si="28"/>
        <v>1409700.1294214502</v>
      </c>
      <c r="K91" s="5">
        <f t="shared" si="28"/>
        <v>1409700.1294214502</v>
      </c>
      <c r="L91" s="5">
        <f t="shared" si="27"/>
        <v>1409700.1294214502</v>
      </c>
    </row>
    <row r="92" spans="1:12" x14ac:dyDescent="0.25">
      <c r="A92" s="4" t="s">
        <v>13</v>
      </c>
      <c r="B92" s="5">
        <f t="shared" si="28"/>
        <v>1523514.8737484859</v>
      </c>
      <c r="C92" s="5">
        <f t="shared" si="28"/>
        <v>1523514.8737484859</v>
      </c>
      <c r="D92" s="5">
        <f t="shared" si="28"/>
        <v>1523514.8737484859</v>
      </c>
      <c r="E92" s="5">
        <f t="shared" si="28"/>
        <v>1523514.8737484859</v>
      </c>
      <c r="F92" s="5">
        <f t="shared" si="28"/>
        <v>1523514.8737484859</v>
      </c>
      <c r="G92" s="5">
        <f t="shared" si="28"/>
        <v>1523514.8737484859</v>
      </c>
      <c r="H92" s="5">
        <f t="shared" si="28"/>
        <v>1523514.8737484859</v>
      </c>
      <c r="I92" s="5">
        <f t="shared" si="28"/>
        <v>1523514.8737484859</v>
      </c>
      <c r="J92" s="5">
        <f t="shared" si="28"/>
        <v>1523514.8737484859</v>
      </c>
      <c r="K92" s="5">
        <f t="shared" si="28"/>
        <v>1523514.8737484859</v>
      </c>
      <c r="L92" s="5">
        <f t="shared" si="27"/>
        <v>1523514.8737484857</v>
      </c>
    </row>
    <row r="93" spans="1:12" x14ac:dyDescent="0.25">
      <c r="A93" s="4" t="s">
        <v>14</v>
      </c>
      <c r="B93" s="5">
        <f t="shared" si="28"/>
        <v>0</v>
      </c>
      <c r="C93" s="5">
        <f t="shared" si="28"/>
        <v>0</v>
      </c>
      <c r="D93" s="5">
        <f t="shared" si="28"/>
        <v>0</v>
      </c>
      <c r="E93" s="5">
        <f t="shared" si="28"/>
        <v>0</v>
      </c>
      <c r="F93" s="5">
        <f t="shared" si="28"/>
        <v>0</v>
      </c>
      <c r="G93" s="5">
        <f t="shared" si="28"/>
        <v>0</v>
      </c>
      <c r="H93" s="5">
        <f t="shared" si="28"/>
        <v>0</v>
      </c>
      <c r="I93" s="5">
        <f t="shared" si="28"/>
        <v>0</v>
      </c>
      <c r="J93" s="5">
        <f t="shared" si="28"/>
        <v>0</v>
      </c>
      <c r="K93" s="5">
        <f t="shared" si="28"/>
        <v>0</v>
      </c>
      <c r="L93" s="5">
        <f t="shared" si="27"/>
        <v>0</v>
      </c>
    </row>
    <row r="94" spans="1:12" x14ac:dyDescent="0.25">
      <c r="A94" s="4" t="s">
        <v>125</v>
      </c>
      <c r="B94" s="5">
        <f t="shared" si="28"/>
        <v>652697.23726924811</v>
      </c>
      <c r="C94" s="5">
        <f t="shared" si="28"/>
        <v>652697.23726924811</v>
      </c>
      <c r="D94" s="5">
        <f t="shared" si="28"/>
        <v>652697.23726924811</v>
      </c>
      <c r="E94" s="5">
        <f t="shared" si="28"/>
        <v>652697.23726924811</v>
      </c>
      <c r="F94" s="5">
        <f t="shared" si="28"/>
        <v>652697.23726924811</v>
      </c>
      <c r="G94" s="5">
        <f t="shared" si="28"/>
        <v>652697.23726924811</v>
      </c>
      <c r="H94" s="5">
        <f t="shared" si="28"/>
        <v>652697.23726924811</v>
      </c>
      <c r="I94" s="5">
        <f t="shared" si="28"/>
        <v>652697.23726924811</v>
      </c>
      <c r="J94" s="5">
        <f t="shared" si="28"/>
        <v>652697.23726924811</v>
      </c>
      <c r="K94" s="5">
        <f t="shared" si="28"/>
        <v>652697.23726924811</v>
      </c>
      <c r="L94" s="5">
        <f t="shared" si="27"/>
        <v>652697.237269248</v>
      </c>
    </row>
    <row r="95" spans="1:12" x14ac:dyDescent="0.25">
      <c r="A95" s="4" t="s">
        <v>37</v>
      </c>
      <c r="B95" s="5">
        <f t="shared" si="28"/>
        <v>14374546.594752003</v>
      </c>
      <c r="C95" s="5">
        <f t="shared" si="28"/>
        <v>14374546.594752003</v>
      </c>
      <c r="D95" s="5">
        <f t="shared" si="28"/>
        <v>14374546.594752003</v>
      </c>
      <c r="E95" s="5">
        <f t="shared" si="28"/>
        <v>14374546.594752003</v>
      </c>
      <c r="F95" s="5">
        <f t="shared" si="28"/>
        <v>14374546.594752003</v>
      </c>
      <c r="G95" s="5">
        <f t="shared" si="28"/>
        <v>14374546.594752003</v>
      </c>
      <c r="H95" s="5">
        <f t="shared" si="28"/>
        <v>14374546.594752003</v>
      </c>
      <c r="I95" s="5">
        <f t="shared" si="28"/>
        <v>14374546.594752003</v>
      </c>
      <c r="J95" s="5">
        <f t="shared" si="28"/>
        <v>14374546.594752003</v>
      </c>
      <c r="K95" s="5">
        <f t="shared" si="28"/>
        <v>14374546.594752003</v>
      </c>
      <c r="L95" s="5">
        <f t="shared" si="27"/>
        <v>14374546.594752003</v>
      </c>
    </row>
    <row r="96" spans="1:12" x14ac:dyDescent="0.25">
      <c r="A96" s="4" t="s">
        <v>38</v>
      </c>
      <c r="B96" s="5">
        <f t="shared" si="28"/>
        <v>181786.92330376717</v>
      </c>
      <c r="C96" s="5">
        <f t="shared" si="28"/>
        <v>181786.92330376717</v>
      </c>
      <c r="D96" s="5">
        <f t="shared" si="28"/>
        <v>181786.92330376717</v>
      </c>
      <c r="E96" s="5">
        <f t="shared" si="28"/>
        <v>181786.92330376717</v>
      </c>
      <c r="F96" s="5">
        <f t="shared" si="28"/>
        <v>181786.92330376717</v>
      </c>
      <c r="G96" s="5">
        <f t="shared" si="28"/>
        <v>181786.92330376717</v>
      </c>
      <c r="H96" s="5">
        <f t="shared" si="28"/>
        <v>181786.92330376717</v>
      </c>
      <c r="I96" s="5">
        <f t="shared" si="28"/>
        <v>181786.92330376717</v>
      </c>
      <c r="J96" s="5">
        <f t="shared" si="28"/>
        <v>181786.92330376717</v>
      </c>
      <c r="K96" s="5">
        <f t="shared" si="28"/>
        <v>181786.92330376717</v>
      </c>
      <c r="L96" s="5">
        <f t="shared" si="27"/>
        <v>181786.92330376714</v>
      </c>
    </row>
    <row r="97" spans="1:12" x14ac:dyDescent="0.25">
      <c r="A97" s="4" t="s">
        <v>15</v>
      </c>
      <c r="B97" s="13">
        <f t="shared" si="28"/>
        <v>9436757.9782581087</v>
      </c>
      <c r="C97" s="13">
        <f t="shared" si="28"/>
        <v>9436757.9782581087</v>
      </c>
      <c r="D97" s="13">
        <f t="shared" si="28"/>
        <v>9436757.9782581087</v>
      </c>
      <c r="E97" s="13">
        <f t="shared" si="28"/>
        <v>9436757.9782581087</v>
      </c>
      <c r="F97" s="13">
        <f t="shared" si="28"/>
        <v>9436757.9782581087</v>
      </c>
      <c r="G97" s="13">
        <f t="shared" si="28"/>
        <v>9436757.9782581087</v>
      </c>
      <c r="H97" s="13">
        <f t="shared" si="28"/>
        <v>9436757.9782581087</v>
      </c>
      <c r="I97" s="13">
        <f t="shared" si="28"/>
        <v>9436757.9782581087</v>
      </c>
      <c r="J97" s="13">
        <f t="shared" si="28"/>
        <v>9436757.9782581087</v>
      </c>
      <c r="K97" s="13">
        <f t="shared" si="28"/>
        <v>9436757.9782581087</v>
      </c>
      <c r="L97" s="5">
        <f t="shared" si="27"/>
        <v>9436757.9782581069</v>
      </c>
    </row>
    <row r="98" spans="1:12" x14ac:dyDescent="0.25">
      <c r="B98" s="5">
        <f t="shared" ref="B98:K98" si="29">SUM(B87:B97)</f>
        <v>36056132.522035502</v>
      </c>
      <c r="C98" s="5">
        <f t="shared" si="29"/>
        <v>36056132.522035502</v>
      </c>
      <c r="D98" s="5">
        <f t="shared" si="29"/>
        <v>36056132.522035502</v>
      </c>
      <c r="E98" s="5">
        <f t="shared" si="29"/>
        <v>36056132.522035502</v>
      </c>
      <c r="F98" s="5">
        <f t="shared" si="29"/>
        <v>36056132.522035502</v>
      </c>
      <c r="G98" s="5">
        <f t="shared" si="29"/>
        <v>36056132.522035502</v>
      </c>
      <c r="H98" s="5">
        <f t="shared" si="29"/>
        <v>36056132.522035502</v>
      </c>
      <c r="I98" s="5">
        <f t="shared" si="29"/>
        <v>36056132.522035502</v>
      </c>
      <c r="J98" s="5">
        <f t="shared" si="29"/>
        <v>36056132.522035502</v>
      </c>
      <c r="K98" s="5">
        <f t="shared" si="29"/>
        <v>36056132.522035502</v>
      </c>
      <c r="L98" s="5"/>
    </row>
    <row r="100" spans="1:12" x14ac:dyDescent="0.25">
      <c r="A100" s="21" t="s">
        <v>52</v>
      </c>
      <c r="B100" s="21" t="str">
        <f>'Summary dashboard'!C4</f>
        <v>2023</v>
      </c>
      <c r="C100" s="21">
        <f>B100+1</f>
        <v>2024</v>
      </c>
      <c r="D100" s="21">
        <f t="shared" ref="D100:K100" si="30">C100+1</f>
        <v>2025</v>
      </c>
      <c r="E100" s="21">
        <f t="shared" si="30"/>
        <v>2026</v>
      </c>
      <c r="F100" s="21">
        <f t="shared" si="30"/>
        <v>2027</v>
      </c>
      <c r="G100" s="21">
        <f t="shared" si="30"/>
        <v>2028</v>
      </c>
      <c r="H100" s="21">
        <f t="shared" si="30"/>
        <v>2029</v>
      </c>
      <c r="I100" s="21">
        <f t="shared" si="30"/>
        <v>2030</v>
      </c>
      <c r="J100" s="21">
        <f t="shared" si="30"/>
        <v>2031</v>
      </c>
      <c r="K100" s="21">
        <f t="shared" si="30"/>
        <v>2032</v>
      </c>
    </row>
    <row r="101" spans="1:12" x14ac:dyDescent="0.25">
      <c r="A101" t="s">
        <v>73</v>
      </c>
      <c r="B101" s="16">
        <f>SUM(B87:B97)/SUM(B44:B54)</f>
        <v>0.32074489084587693</v>
      </c>
      <c r="C101" s="16">
        <f t="shared" ref="C101:K101" si="31">SUM(C87:C97)/SUM(C44:C54)</f>
        <v>0.32074489084587693</v>
      </c>
      <c r="D101" s="16">
        <f t="shared" si="31"/>
        <v>0.32074489084587693</v>
      </c>
      <c r="E101" s="16">
        <f t="shared" si="31"/>
        <v>0.32074489084587693</v>
      </c>
      <c r="F101" s="16">
        <f t="shared" si="31"/>
        <v>0.32074489084587693</v>
      </c>
      <c r="G101" s="16">
        <f t="shared" si="31"/>
        <v>0.32074489084587693</v>
      </c>
      <c r="H101" s="16">
        <f t="shared" si="31"/>
        <v>0.32074489084587693</v>
      </c>
      <c r="I101" s="16">
        <f t="shared" si="31"/>
        <v>0.32074489084587693</v>
      </c>
      <c r="J101" s="16">
        <f t="shared" si="31"/>
        <v>0.32074489084587693</v>
      </c>
      <c r="K101" s="16">
        <f t="shared" si="31"/>
        <v>0.32074489084587693</v>
      </c>
    </row>
    <row r="102" spans="1:12" x14ac:dyDescent="0.25">
      <c r="A102" t="s">
        <v>70</v>
      </c>
      <c r="B102" s="16">
        <f>SUM(B84:K84)/SUM($B$55:$K$55)</f>
        <v>0.23490229779175531</v>
      </c>
    </row>
    <row r="103" spans="1:12" x14ac:dyDescent="0.25">
      <c r="A103" t="s">
        <v>71</v>
      </c>
      <c r="B103" s="16">
        <f>SUM(B98:K98)/SUM($B$55:$K$55)</f>
        <v>0.32074489084587687</v>
      </c>
    </row>
    <row r="104" spans="1:12" x14ac:dyDescent="0.25">
      <c r="A104" t="s">
        <v>72</v>
      </c>
      <c r="B104" s="16">
        <f>SUM(B69:K69)/SUM($B$55:$K$55)</f>
        <v>0.40658748389999844</v>
      </c>
    </row>
  </sheetData>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70154309-E57A-41CC-AE16-98B23670EF99}">
          <x14:formula1>
            <xm:f>Lists!$C$2:$C$7</xm:f>
          </x14:formula1>
          <xm:sqref>A1</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D2981-0E72-491E-BDD9-11371657CFF1}">
  <dimension ref="A1:E12"/>
  <sheetViews>
    <sheetView workbookViewId="0"/>
  </sheetViews>
  <sheetFormatPr defaultRowHeight="15" x14ac:dyDescent="0.25"/>
  <cols>
    <col min="1" max="1" width="22.7109375" bestFit="1" customWidth="1"/>
    <col min="2" max="2" width="2.28515625" style="3" customWidth="1"/>
    <col min="3" max="3" width="29.42578125" customWidth="1"/>
    <col min="4" max="4" width="2.28515625" style="3" customWidth="1"/>
    <col min="5" max="5" width="63.5703125" bestFit="1" customWidth="1"/>
  </cols>
  <sheetData>
    <row r="1" spans="1:5" x14ac:dyDescent="0.25">
      <c r="A1" s="1" t="s">
        <v>29</v>
      </c>
      <c r="B1" s="2"/>
      <c r="C1" s="1" t="s">
        <v>30</v>
      </c>
      <c r="D1" s="2"/>
      <c r="E1" s="1" t="s">
        <v>16</v>
      </c>
    </row>
    <row r="2" spans="1:5" x14ac:dyDescent="0.25">
      <c r="A2" t="s">
        <v>9</v>
      </c>
      <c r="C2" t="s">
        <v>42</v>
      </c>
      <c r="E2" t="s">
        <v>35</v>
      </c>
    </row>
    <row r="3" spans="1:5" x14ac:dyDescent="0.25">
      <c r="A3" t="s">
        <v>0</v>
      </c>
      <c r="C3" t="s">
        <v>31</v>
      </c>
      <c r="E3" t="s">
        <v>36</v>
      </c>
    </row>
    <row r="4" spans="1:5" x14ac:dyDescent="0.25">
      <c r="A4" t="s">
        <v>1</v>
      </c>
      <c r="C4" t="s">
        <v>50</v>
      </c>
      <c r="E4" t="s">
        <v>11</v>
      </c>
    </row>
    <row r="5" spans="1:5" x14ac:dyDescent="0.25">
      <c r="A5" t="s">
        <v>2</v>
      </c>
      <c r="C5" t="s">
        <v>33</v>
      </c>
      <c r="E5" t="s">
        <v>124</v>
      </c>
    </row>
    <row r="6" spans="1:5" x14ac:dyDescent="0.25">
      <c r="A6" t="s">
        <v>3</v>
      </c>
      <c r="C6" t="s">
        <v>32</v>
      </c>
      <c r="E6" t="s">
        <v>12</v>
      </c>
    </row>
    <row r="7" spans="1:5" x14ac:dyDescent="0.25">
      <c r="A7" t="s">
        <v>4</v>
      </c>
      <c r="C7" t="s">
        <v>34</v>
      </c>
      <c r="E7" t="s">
        <v>13</v>
      </c>
    </row>
    <row r="8" spans="1:5" x14ac:dyDescent="0.25">
      <c r="A8" t="s">
        <v>5</v>
      </c>
      <c r="E8" t="s">
        <v>14</v>
      </c>
    </row>
    <row r="9" spans="1:5" x14ac:dyDescent="0.25">
      <c r="A9" t="s">
        <v>6</v>
      </c>
      <c r="E9" t="s">
        <v>125</v>
      </c>
    </row>
    <row r="10" spans="1:5" x14ac:dyDescent="0.25">
      <c r="A10" t="s">
        <v>7</v>
      </c>
      <c r="E10" t="s">
        <v>37</v>
      </c>
    </row>
    <row r="11" spans="1:5" x14ac:dyDescent="0.25">
      <c r="A11" t="s">
        <v>8</v>
      </c>
      <c r="E11" t="s">
        <v>38</v>
      </c>
    </row>
    <row r="12" spans="1:5" x14ac:dyDescent="0.25">
      <c r="E12" t="s">
        <v>15</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1FBA91-61FE-413A-8F88-2EEF9A9F679B}">
  <dimension ref="A1:K37"/>
  <sheetViews>
    <sheetView zoomScaleNormal="100" workbookViewId="0">
      <selection activeCell="B3" sqref="B3"/>
    </sheetView>
  </sheetViews>
  <sheetFormatPr defaultColWidth="8.7109375" defaultRowHeight="15" x14ac:dyDescent="0.25"/>
  <cols>
    <col min="1" max="1" width="42.85546875" style="23" customWidth="1"/>
    <col min="2" max="3" width="14.85546875" style="23" customWidth="1"/>
    <col min="4" max="11" width="14.42578125" style="23" customWidth="1"/>
    <col min="12" max="16384" width="8.7109375" style="23"/>
  </cols>
  <sheetData>
    <row r="1" spans="1:3" x14ac:dyDescent="0.25">
      <c r="A1" s="121" t="s">
        <v>122</v>
      </c>
      <c r="B1" s="109" t="s">
        <v>76</v>
      </c>
      <c r="C1" s="109"/>
    </row>
    <row r="2" spans="1:3" ht="14.25" customHeight="1" x14ac:dyDescent="0.25">
      <c r="A2" s="33"/>
      <c r="B2" s="34" t="s">
        <v>48</v>
      </c>
      <c r="C2" s="34" t="s">
        <v>49</v>
      </c>
    </row>
    <row r="3" spans="1:3" x14ac:dyDescent="0.25">
      <c r="A3" s="31" t="s">
        <v>22</v>
      </c>
      <c r="B3" s="75">
        <v>1</v>
      </c>
      <c r="C3" s="76">
        <v>1</v>
      </c>
    </row>
    <row r="4" spans="1:3" x14ac:dyDescent="0.25">
      <c r="A4" s="31" t="s">
        <v>75</v>
      </c>
      <c r="B4" s="77" t="s">
        <v>23</v>
      </c>
      <c r="C4" s="64" t="str">
        <f>LEFT(B4,2)&amp;RIGHT(B4,2)</f>
        <v>2023</v>
      </c>
    </row>
    <row r="5" spans="1:3" ht="5.25" customHeight="1" x14ac:dyDescent="0.25"/>
    <row r="8" spans="1:3" x14ac:dyDescent="0.25">
      <c r="A8" s="54" t="s">
        <v>85</v>
      </c>
      <c r="B8" s="27">
        <f>E_mincost!L413</f>
        <v>201916893.73045534</v>
      </c>
    </row>
    <row r="9" spans="1:3" x14ac:dyDescent="0.25">
      <c r="A9" s="54" t="s">
        <v>84</v>
      </c>
      <c r="B9" s="27">
        <f>E_unitcost!L25</f>
        <v>270252046.0111565</v>
      </c>
    </row>
    <row r="10" spans="1:3" x14ac:dyDescent="0.25">
      <c r="A10" s="54" t="s">
        <v>76</v>
      </c>
      <c r="B10" s="27">
        <f>E_budgeted!L455</f>
        <v>263082808.77186</v>
      </c>
    </row>
    <row r="14" spans="1:3" ht="54.75" customHeight="1" x14ac:dyDescent="0.25"/>
    <row r="15" spans="1:3" ht="5.25" customHeight="1" x14ac:dyDescent="0.25"/>
    <row r="16" spans="1:3" x14ac:dyDescent="0.25">
      <c r="A16" s="31" t="s">
        <v>111</v>
      </c>
      <c r="B16" s="74" t="s">
        <v>64</v>
      </c>
    </row>
    <row r="17" spans="1:11" ht="4.5" customHeight="1" x14ac:dyDescent="0.25"/>
    <row r="18" spans="1:11" ht="31.5" customHeight="1" x14ac:dyDescent="0.25">
      <c r="A18" s="24"/>
      <c r="B18" s="108" t="str">
        <f>"Public interest funding required (Upper bound) ("&amp;B16&amp;")"</f>
        <v>Public interest funding required (Upper bound) (2023)</v>
      </c>
      <c r="C18" s="108"/>
      <c r="D18" s="108" t="str">
        <f>"Public interest funding required (Median) ("&amp;B16&amp;")"</f>
        <v>Public interest funding required (Median) (2023)</v>
      </c>
      <c r="E18" s="108"/>
      <c r="F18" s="108" t="str">
        <f>"Public interest funding required (Lower bound) ("&amp;B16&amp;")"</f>
        <v>Public interest funding required (Lower bound) (2023)</v>
      </c>
      <c r="G18" s="108"/>
    </row>
    <row r="19" spans="1:11" x14ac:dyDescent="0.25">
      <c r="A19" s="31" t="s">
        <v>42</v>
      </c>
      <c r="B19" s="104">
        <f>IF('Summary dashboard'!$B$1="Unit cost approach",INDEX(E_unitcost!$B$3:$K$8,MATCH(A19,E_unitcost!$A$3:$A$8,0),MATCH($B$16,E_unitcost!$B$18:$K$18,0)),IF($B$1="Budgeted expenditure approach",INDEX(E_budgeted!$B$527:$K$532,MATCH($A19,E_budgeted!$A$527:$A$532,0),MATCH($B$16,E_budgeted!$B$526:$K$526,0)),IF($B$1="Minimum cost approach",INDEX(E_mincost!$B$424:$K$429,MATCH($A19,E_mincost!$A$424:$A$429,0),MATCH($B$16,E_mincost!$B$423:$K$423,0)))))</f>
        <v>54310918.891926661</v>
      </c>
      <c r="C19" s="104"/>
      <c r="D19" s="104">
        <f>IF('Summary dashboard'!$B$1="Unit cost approach",INDEX(E_unitcost!$B$19:$K$24,MATCH($A19,E_unitcost!$A$19:$A$24,0),MATCH($B$16,E_unitcost!$B$18:$K$18,0)),IF($B$1="Budgeted expenditure approach",INDEX(E_budgeted!$B$543:$K$548,MATCH($A19,E_budgeted!$A$543:$A$548,0),MATCH($B$16,E_budgeted!$B$526:$K$526,0)),IF($B$1="Minimum cost approach",INDEX(E_mincost!$B$440:$K$445,MATCH($A19,E_mincost!$A$440:$A$445,0),MATCH($B$16,E_mincost!$B$423:$K$423,0)))))</f>
        <v>42446917.476893336</v>
      </c>
      <c r="E19" s="104"/>
      <c r="F19" s="104">
        <f>IF('Summary dashboard'!$B$1="Unit cost approach",INDEX(E_unitcost!$B$11:$K$16,MATCH($A19,E_unitcost!$A$19:$A$24,0),MATCH($B$16,E_unitcost!$B$18:$K$18,0)),IF($B$1="Budgeted expenditure approach",INDEX(E_budgeted!$B$535:$K$540,MATCH($A19,E_budgeted!$A$535:$A$540,0),MATCH($B$16,E_budgeted!$B$526:$K$526,0)),IF($B$1="Minimum cost approach",INDEX(E_mincost!$B$432:$K$437,MATCH($A19,E_mincost!$A$432:$A$437,0),MATCH($B$16,E_mincost!$B$423:$K$423,0)))))</f>
        <v>30582916.061860003</v>
      </c>
      <c r="G19" s="104"/>
      <c r="I19" s="91"/>
    </row>
    <row r="20" spans="1:11" x14ac:dyDescent="0.25">
      <c r="A20" s="31" t="s">
        <v>31</v>
      </c>
      <c r="B20" s="104">
        <f>IF('Summary dashboard'!$B$1="Unit cost approach",INDEX(E_unitcost!$B$3:$K$8,MATCH(A20,E_unitcost!$A$3:$A$8,0),MATCH($B$16,E_unitcost!$B$18:$K$18,0)),IF($B$1="Budgeted expenditure approach",INDEX(E_budgeted!$B$527:$K$532,MATCH($A20,E_budgeted!$A$527:$A$532,0),MATCH($B$16,E_budgeted!$B$526:$K$526,0)),IF($B$1="Minimum cost approach",INDEX(E_mincost!$B$424:$K$429,MATCH($A20,E_mincost!$A$424:$A$429,0),MATCH($B$16,E_mincost!$B$423:$K$423,0)))))</f>
        <v>55730771.879237667</v>
      </c>
      <c r="C20" s="104"/>
      <c r="D20" s="104">
        <f>IF('Summary dashboard'!$B$1="Unit cost approach",INDEX(E_unitcost!$B$19:$K$24,MATCH($A20,E_unitcost!$A$19:$A$24,0),MATCH($B$16,E_unitcost!$B$18:$K$18,0)),IF($B$1="Budgeted expenditure approach",INDEX(E_budgeted!$B$543:$K$548,MATCH($A20,E_budgeted!$A$543:$A$548,0),MATCH($B$16,E_budgeted!$B$526:$K$526,0)),IF($B$1="Minimum cost approach",INDEX(E_mincost!$B$440:$K$445,MATCH($A20,E_mincost!$A$440:$A$445,0),MATCH($B$16,E_mincost!$B$423:$K$423,0)))))</f>
        <v>44328671.455806822</v>
      </c>
      <c r="E20" s="104"/>
      <c r="F20" s="104">
        <f>IF('Summary dashboard'!$B$1="Unit cost approach",INDEX(E_unitcost!$B$11:$K$16,MATCH($A20,E_unitcost!$A$19:$A$24,0),MATCH($B$16,E_unitcost!$B$18:$K$18,0)),IF($B$1="Budgeted expenditure approach",INDEX(E_budgeted!$B$535:$K$540,MATCH($A20,E_budgeted!$A$535:$A$540,0),MATCH($B$16,E_budgeted!$B$526:$K$526,0)),IF($B$1="Minimum cost approach",INDEX(E_mincost!$B$432:$K$437,MATCH($A20,E_mincost!$A$432:$A$437,0),MATCH($B$16,E_mincost!$B$423:$K$423,0)))))</f>
        <v>32926571.032375976</v>
      </c>
      <c r="G20" s="104"/>
      <c r="I20" s="91"/>
    </row>
    <row r="21" spans="1:11" x14ac:dyDescent="0.25">
      <c r="A21" s="31" t="s">
        <v>50</v>
      </c>
      <c r="B21" s="104">
        <f>IF('Summary dashboard'!$B$1="Unit cost approach",INDEX(E_unitcost!$B$3:$K$8,MATCH(A21,E_unitcost!$A$3:$A$8,0),MATCH($B$16,E_unitcost!$B$18:$K$18,0)),IF($B$1="Budgeted expenditure approach",INDEX(E_budgeted!$B$527:$K$532,MATCH($A21,E_budgeted!$A$527:$A$532,0),MATCH($B$16,E_budgeted!$B$526:$K$526,0)),IF($B$1="Minimum cost approach",INDEX(E_mincost!$B$424:$K$429,MATCH($A21,E_mincost!$A$424:$A$429,0),MATCH($B$16,E_mincost!$B$423:$K$423,0)))))</f>
        <v>44339164.844333336</v>
      </c>
      <c r="C21" s="104"/>
      <c r="D21" s="104">
        <f>IF('Summary dashboard'!$B$1="Unit cost approach",INDEX(E_unitcost!$B$19:$K$24,MATCH($A21,E_unitcost!$A$19:$A$24,0),MATCH($B$16,E_unitcost!$B$18:$K$18,0)),IF($B$1="Budgeted expenditure approach",INDEX(E_budgeted!$B$543:$K$548,MATCH($A21,E_budgeted!$A$543:$A$548,0),MATCH($B$16,E_budgeted!$B$526:$K$526,0)),IF($B$1="Minimum cost approach",INDEX(E_mincost!$B$440:$K$445,MATCH($A21,E_mincost!$A$440:$A$445,0),MATCH($B$16,E_mincost!$B$423:$K$423,0)))))</f>
        <v>35839919.067749999</v>
      </c>
      <c r="E21" s="104"/>
      <c r="F21" s="104">
        <f>IF('Summary dashboard'!$B$1="Unit cost approach",INDEX(E_unitcost!$B$11:$K$16,MATCH($A21,E_unitcost!$A$19:$A$24,0),MATCH($B$16,E_unitcost!$B$18:$K$18,0)),IF($B$1="Budgeted expenditure approach",INDEX(E_budgeted!$B$535:$K$540,MATCH($A21,E_budgeted!$A$535:$A$540,0),MATCH($B$16,E_budgeted!$B$526:$K$526,0)),IF($B$1="Minimum cost approach",INDEX(E_mincost!$B$432:$K$437,MATCH($A21,E_mincost!$A$432:$A$437,0),MATCH($B$16,E_mincost!$B$423:$K$423,0)))))</f>
        <v>27340673.291166671</v>
      </c>
      <c r="G21" s="104"/>
      <c r="I21" s="91"/>
    </row>
    <row r="22" spans="1:11" x14ac:dyDescent="0.25">
      <c r="A22" s="31" t="s">
        <v>33</v>
      </c>
      <c r="B22" s="104">
        <f>IF('Summary dashboard'!$B$1="Unit cost approach",INDEX(E_unitcost!$B$3:$K$8,MATCH(A22,E_unitcost!$A$3:$A$8,0),MATCH($B$16,E_unitcost!$B$18:$K$18,0)),IF($B$1="Budgeted expenditure approach",INDEX(E_budgeted!$B$527:$K$532,MATCH($A22,E_budgeted!$A$527:$A$532,0),MATCH($B$16,E_budgeted!$B$526:$K$526,0)),IF($B$1="Minimum cost approach",INDEX(E_mincost!$B$424:$K$429,MATCH($A22,E_mincost!$A$424:$A$429,0),MATCH($B$16,E_mincost!$B$423:$K$423,0)))))</f>
        <v>67023774.734940663</v>
      </c>
      <c r="C22" s="104"/>
      <c r="D22" s="104">
        <f>IF('Summary dashboard'!$B$1="Unit cost approach",INDEX(E_unitcost!$B$19:$K$24,MATCH($A22,E_unitcost!$A$19:$A$24,0),MATCH($B$16,E_unitcost!$B$18:$K$18,0)),IF($B$1="Budgeted expenditure approach",INDEX(E_budgeted!$B$543:$K$548,MATCH($A22,E_budgeted!$A$543:$A$548,0),MATCH($B$16,E_budgeted!$B$526:$K$526,0)),IF($B$1="Minimum cost approach",INDEX(E_mincost!$B$440:$K$445,MATCH($A22,E_mincost!$A$440:$A$445,0),MATCH($B$16,E_mincost!$B$423:$K$423,0)))))</f>
        <v>52187951.761067331</v>
      </c>
      <c r="E22" s="104"/>
      <c r="F22" s="104">
        <f>IF('Summary dashboard'!$B$1="Unit cost approach",INDEX(E_unitcost!$B$11:$K$16,MATCH($A22,E_unitcost!$A$19:$A$24,0),MATCH($B$16,E_unitcost!$B$18:$K$18,0)),IF($B$1="Budgeted expenditure approach",INDEX(E_budgeted!$B$535:$K$540,MATCH($A22,E_budgeted!$A$535:$A$540,0),MATCH($B$16,E_budgeted!$B$526:$K$526,0)),IF($B$1="Minimum cost approach",INDEX(E_mincost!$B$432:$K$437,MATCH($A22,E_mincost!$A$432:$A$437,0),MATCH($B$16,E_mincost!$B$423:$K$423,0)))))</f>
        <v>37352128.787193999</v>
      </c>
      <c r="G22" s="104"/>
      <c r="I22" s="91"/>
    </row>
    <row r="23" spans="1:11" x14ac:dyDescent="0.25">
      <c r="A23" s="31" t="s">
        <v>32</v>
      </c>
      <c r="B23" s="104">
        <f>IF('Summary dashboard'!$B$1="Unit cost approach",INDEX(E_unitcost!$B$3:$K$8,MATCH(A23,E_unitcost!$A$3:$A$8,0),MATCH($B$16,E_unitcost!$B$18:$K$18,0)),IF($B$1="Budgeted expenditure approach",INDEX(E_budgeted!$B$527:$K$532,MATCH($A23,E_budgeted!$A$527:$A$532,0),MATCH($B$16,E_budgeted!$B$526:$K$526,0)),IF($B$1="Minimum cost approach",INDEX(E_mincost!$B$424:$K$429,MATCH($A23,E_mincost!$A$424:$A$429,0),MATCH($B$16,E_mincost!$B$423:$K$423,0)))))</f>
        <v>43124953.889233336</v>
      </c>
      <c r="C23" s="104"/>
      <c r="D23" s="104">
        <f>IF('Summary dashboard'!$B$1="Unit cost approach",INDEX(E_unitcost!$B$19:$K$24,MATCH($A23,E_unitcost!$A$19:$A$24,0),MATCH($B$16,E_unitcost!$B$18:$K$18,0)),IF($B$1="Budgeted expenditure approach",INDEX(E_budgeted!$B$543:$K$548,MATCH($A23,E_budgeted!$A$543:$A$548,0),MATCH($B$16,E_budgeted!$B$526:$K$526,0)),IF($B$1="Minimum cost approach",INDEX(E_mincost!$B$440:$K$445,MATCH($A23,E_mincost!$A$440:$A$445,0),MATCH($B$16,E_mincost!$B$423:$K$423,0)))))</f>
        <v>34285854.535066664</v>
      </c>
      <c r="E23" s="104"/>
      <c r="F23" s="104">
        <f>IF('Summary dashboard'!$B$1="Unit cost approach",INDEX(E_unitcost!$B$11:$K$16,MATCH($A23,E_unitcost!$A$19:$A$24,0),MATCH($B$16,E_unitcost!$B$18:$K$18,0)),IF($B$1="Budgeted expenditure approach",INDEX(E_budgeted!$B$535:$K$540,MATCH($A23,E_budgeted!$A$535:$A$540,0),MATCH($B$16,E_budgeted!$B$526:$K$526,0)),IF($B$1="Minimum cost approach",INDEX(E_mincost!$B$432:$K$437,MATCH($A23,E_mincost!$A$432:$A$437,0),MATCH($B$16,E_mincost!$B$423:$K$423,0)))))</f>
        <v>25446755.180900004</v>
      </c>
      <c r="G23" s="104"/>
      <c r="I23" s="91"/>
    </row>
    <row r="24" spans="1:11" x14ac:dyDescent="0.25">
      <c r="A24" s="31" t="s">
        <v>34</v>
      </c>
      <c r="B24" s="104">
        <f>IF('Summary dashboard'!$B$1="Unit cost approach",INDEX(E_unitcost!$B$3:$K$8,MATCH(A24,E_unitcost!$A$3:$A$8,0),MATCH($B$16,E_unitcost!$B$18:$K$18,0)),IF($B$1="Budgeted expenditure approach",INDEX(E_budgeted!$B$527:$K$532,MATCH($A24,E_budgeted!$A$527:$A$532,0),MATCH($B$16,E_budgeted!$B$526:$K$526,0)),IF($B$1="Minimum cost approach",INDEX(E_mincost!$B$424:$K$429,MATCH($A24,E_mincost!$A$424:$A$429,0),MATCH($B$16,E_mincost!$B$423:$K$423,0)))))</f>
        <v>66625090.758990116</v>
      </c>
      <c r="C24" s="104"/>
      <c r="D24" s="104">
        <f>IF('Summary dashboard'!$B$1="Unit cost approach",INDEX(E_unitcost!$B$19:$K$24,MATCH($A24,E_unitcost!$A$19:$A$24,0),MATCH($B$16,E_unitcost!$B$18:$K$18,0)),IF($B$1="Budgeted expenditure approach",INDEX(E_budgeted!$B$543:$K$548,MATCH($A24,E_budgeted!$A$543:$A$548,0),MATCH($B$16,E_budgeted!$B$526:$K$526,0)),IF($B$1="Minimum cost approach",INDEX(E_mincost!$B$440:$K$445,MATCH($A24,E_mincost!$A$440:$A$445,0),MATCH($B$16,E_mincost!$B$423:$K$423,0)))))</f>
        <v>53993494.475275807</v>
      </c>
      <c r="E24" s="104"/>
      <c r="F24" s="104">
        <f>IF('Summary dashboard'!$B$1="Unit cost approach",INDEX(E_unitcost!$B$11:$K$16,MATCH($A24,E_unitcost!$A$19:$A$24,0),MATCH($B$16,E_unitcost!$B$18:$K$18,0)),IF($B$1="Budgeted expenditure approach",INDEX(E_budgeted!$B$535:$K$540,MATCH($A24,E_budgeted!$A$535:$A$540,0),MATCH($B$16,E_budgeted!$B$526:$K$526,0)),IF($B$1="Minimum cost approach",INDEX(E_mincost!$B$432:$K$437,MATCH($A24,E_mincost!$A$432:$A$437,0),MATCH($B$16,E_mincost!$B$423:$K$423,0)))))</f>
        <v>41361898.191561505</v>
      </c>
      <c r="G24" s="104"/>
      <c r="I24" s="91"/>
    </row>
    <row r="25" spans="1:11" x14ac:dyDescent="0.25">
      <c r="A25" s="31" t="s">
        <v>66</v>
      </c>
      <c r="B25" s="105">
        <f>SUM(B19:C24)</f>
        <v>331154674.99866176</v>
      </c>
      <c r="C25" s="105"/>
      <c r="D25" s="105">
        <f>SUM(D19:E24)</f>
        <v>263082808.77185997</v>
      </c>
      <c r="E25" s="105"/>
      <c r="F25" s="105">
        <f>SUM(F19:G24)</f>
        <v>195010942.54505813</v>
      </c>
      <c r="G25" s="105"/>
    </row>
    <row r="26" spans="1:11" ht="6" customHeight="1" x14ac:dyDescent="0.25"/>
    <row r="27" spans="1:11" ht="15" customHeight="1" x14ac:dyDescent="0.25">
      <c r="A27" s="67" t="s">
        <v>67</v>
      </c>
      <c r="B27" s="106">
        <f>IF('Summary dashboard'!$B$1="Unit cost approach",B25/INDEX(E_unitcost!$B$84:$K$84,1,MATCH($B$16,E_unitcost!$B$72:$K$72,0)),IF('Summary dashboard'!$B$1="Budgeted expenditure approach",B25/INDEX(E_budgeted!$B$516:$L$516,1,MATCH($B$16,E_budgeted!$B$504:$K$504,0)),IF('Summary dashboard'!$B$1="Minimum cost approach",MIN(B25/INDEX(E_unitcost!$B$84:$K$84,1,MATCH($B$16,E_unitcost!$B$72:$K$72,0)),B25/INDEX(E_budgeted!$B$516:$L$516,1,MATCH($B$16,E_budgeted!$B$504:$K$504,0))))))</f>
        <v>0.42022294463566895</v>
      </c>
      <c r="C27" s="107">
        <f>IF('Summary dashboard'!$B$1="Unit cost approach",D25/INDEX(E_unitcost!$B$84:$K$84,1,MATCH($B$16,E_unitcost!$B$72:$K$72,0)),IF('Summary dashboard'!$B$1="Budgeted expenditure approach",D25/INDEX(E_budgeted!$B$516:$L$516,1,MATCH($B$16,E_budgeted!$B$504:$K$504,0)),IF('Summary dashboard'!$B$1="Minimum cost approach",MIN(D25/INDEX(E_unitcost!$B$84:$K$84,1,MATCH($B$16,E_unitcost!$B$72:$K$72,0)),D25/INDEX(E_budgeted!$B$516:$L$516,1,MATCH($B$16,E_budgeted!$B$504:$K$504,0))))))</f>
        <v>0.33384228256955867</v>
      </c>
      <c r="D27" s="106">
        <f>IF('Summary dashboard'!$B$1="Unit cost approach",D25/INDEX(E_unitcost!$B$84:$K$84,1,MATCH($B$16,E_unitcost!$B$72:$K$72,0)),IF('Summary dashboard'!$B$1="Budgeted expenditure approach",D25/INDEX(E_budgeted!$B$516:$L$516,1,MATCH($B$16,E_budgeted!$B$504:$K$504,0)),IF('Summary dashboard'!$B$1="Minimum cost approach",MIN(D25/INDEX(E_unitcost!$B$84:$K$84,1,MATCH($B$16,E_unitcost!$B$72:$K$72,0)),D25/INDEX(E_budgeted!$B$516:$L$516,1,MATCH($B$16,E_budgeted!$B$504:$K$504,0))))))</f>
        <v>0.33384228256955867</v>
      </c>
      <c r="E27" s="107"/>
      <c r="F27" s="106">
        <f>IF('Summary dashboard'!$B$1="Unit cost approach",F25/INDEX(E_unitcost!$B$84:$K$84,1,MATCH($B$16,E_unitcost!$B$72:$K$72,0)),IF('Summary dashboard'!$B$1="Budgeted expenditure approach",F25/INDEX(E_budgeted!$B$516:$L$516,1,MATCH($B$16,E_budgeted!$B$504:$K$504,0)),IF('Summary dashboard'!$B$1="Minimum cost approach",MIN(F25/INDEX(E_unitcost!$B$84:$K$84,1,MATCH($B$16,E_unitcost!$B$72:$K$72,0)),F25/INDEX(E_budgeted!$B$516:$L$516,1,MATCH($B$16,E_budgeted!$B$504:$K$504,0))))))</f>
        <v>0.24746162050344828</v>
      </c>
      <c r="G27" s="107"/>
    </row>
    <row r="28" spans="1:11" ht="35.25" customHeight="1" x14ac:dyDescent="0.25">
      <c r="A28" s="24"/>
    </row>
    <row r="29" spans="1:11" ht="3.75" customHeight="1" x14ac:dyDescent="0.25"/>
    <row r="30" spans="1:11" x14ac:dyDescent="0.25">
      <c r="A30" s="52" t="s">
        <v>74</v>
      </c>
      <c r="B30" s="30" t="str">
        <f>'Summary dashboard'!C4</f>
        <v>2023</v>
      </c>
      <c r="C30" s="30">
        <f>B30+1</f>
        <v>2024</v>
      </c>
      <c r="D30" s="30">
        <f t="shared" ref="D30:K30" si="0">C30+1</f>
        <v>2025</v>
      </c>
      <c r="E30" s="30">
        <f t="shared" si="0"/>
        <v>2026</v>
      </c>
      <c r="F30" s="30">
        <f t="shared" si="0"/>
        <v>2027</v>
      </c>
      <c r="G30" s="30">
        <f t="shared" si="0"/>
        <v>2028</v>
      </c>
      <c r="H30" s="30">
        <f t="shared" si="0"/>
        <v>2029</v>
      </c>
      <c r="I30" s="30">
        <f t="shared" si="0"/>
        <v>2030</v>
      </c>
      <c r="J30" s="30">
        <f t="shared" si="0"/>
        <v>2031</v>
      </c>
      <c r="K30" s="30">
        <f t="shared" si="0"/>
        <v>2032</v>
      </c>
    </row>
    <row r="31" spans="1:11" x14ac:dyDescent="0.25">
      <c r="A31" s="31" t="s">
        <v>42</v>
      </c>
      <c r="B31" s="29">
        <f>IF('Summary dashboard'!$B$1="Unit cost approach",E_unitcost!B19,IF('Summary dashboard'!$B$1="Budgeted expenditure approach",E_budgeted!B84,IF('Summary dashboard'!$B$1="Minimum cost approach",E_mincost!B60,"ERROR")))</f>
        <v>42446917.476893336</v>
      </c>
      <c r="C31" s="29">
        <f>IF('Summary dashboard'!$B$1="Unit cost approach",E_unitcost!C19,IF('Summary dashboard'!$B$1="Budgeted expenditure approach",E_budgeted!C84,IF('Summary dashboard'!$B$1="Minimum cost approach",E_mincost!C60,"ERROR")))</f>
        <v>42446917.476893336</v>
      </c>
      <c r="D31" s="29">
        <f>IF('Summary dashboard'!$B$1="Unit cost approach",E_unitcost!D19,IF('Summary dashboard'!$B$1="Budgeted expenditure approach",E_budgeted!D84,IF('Summary dashboard'!$B$1="Minimum cost approach",E_mincost!D60,"ERROR")))</f>
        <v>42446917.476893336</v>
      </c>
      <c r="E31" s="29">
        <f>IF('Summary dashboard'!$B$1="Unit cost approach",E_unitcost!E19,IF('Summary dashboard'!$B$1="Budgeted expenditure approach",E_budgeted!E84,IF('Summary dashboard'!$B$1="Minimum cost approach",E_mincost!E60,"ERROR")))</f>
        <v>42446917.476893336</v>
      </c>
      <c r="F31" s="29">
        <f>IF('Summary dashboard'!$B$1="Unit cost approach",E_unitcost!F19,IF('Summary dashboard'!$B$1="Budgeted expenditure approach",E_budgeted!F84,IF('Summary dashboard'!$B$1="Minimum cost approach",E_mincost!F60,"ERROR")))</f>
        <v>42446917.476893336</v>
      </c>
      <c r="G31" s="29">
        <f>IF('Summary dashboard'!$B$1="Unit cost approach",E_unitcost!G19,IF('Summary dashboard'!$B$1="Budgeted expenditure approach",E_budgeted!G84,IF('Summary dashboard'!$B$1="Minimum cost approach",E_mincost!G60,"ERROR")))</f>
        <v>42446917.476893336</v>
      </c>
      <c r="H31" s="29">
        <f>IF('Summary dashboard'!$B$1="Unit cost approach",E_unitcost!H19,IF('Summary dashboard'!$B$1="Budgeted expenditure approach",E_budgeted!H84,IF('Summary dashboard'!$B$1="Minimum cost approach",E_mincost!H60,"ERROR")))</f>
        <v>42446917.476893336</v>
      </c>
      <c r="I31" s="29">
        <f>IF('Summary dashboard'!$B$1="Unit cost approach",E_unitcost!I19,IF('Summary dashboard'!$B$1="Budgeted expenditure approach",E_budgeted!I84,IF('Summary dashboard'!$B$1="Minimum cost approach",E_mincost!I60,"ERROR")))</f>
        <v>42446917.476893336</v>
      </c>
      <c r="J31" s="29">
        <f>IF('Summary dashboard'!$B$1="Unit cost approach",E_unitcost!J19,IF('Summary dashboard'!$B$1="Budgeted expenditure approach",E_budgeted!J84,IF('Summary dashboard'!$B$1="Minimum cost approach",E_mincost!J60,"ERROR")))</f>
        <v>42446917.476893336</v>
      </c>
      <c r="K31" s="29">
        <f>IF('Summary dashboard'!$B$1="Unit cost approach",E_unitcost!K19,IF('Summary dashboard'!$B$1="Budgeted expenditure approach",E_budgeted!K84,IF('Summary dashboard'!$B$1="Minimum cost approach",E_mincost!K60,"ERROR")))</f>
        <v>42446917.476893336</v>
      </c>
    </row>
    <row r="32" spans="1:11" x14ac:dyDescent="0.25">
      <c r="A32" s="31" t="s">
        <v>31</v>
      </c>
      <c r="B32" s="29">
        <f>IF('Summary dashboard'!$B$1="Unit cost approach",E_unitcost!B20,IF('Summary dashboard'!$B$1="Budgeted expenditure approach",E_budgeted!B155,IF('Summary dashboard'!$B$1="Minimum cost approach",E_mincost!B119,"ERROR")))</f>
        <v>44328671.455806822</v>
      </c>
      <c r="C32" s="29">
        <f>IF('Summary dashboard'!$B$1="Unit cost approach",E_unitcost!C20,IF('Summary dashboard'!$B$1="Budgeted expenditure approach",E_budgeted!C155,IF('Summary dashboard'!$B$1="Minimum cost approach",E_mincost!C119,"ERROR")))</f>
        <v>44328671.455806822</v>
      </c>
      <c r="D32" s="29">
        <f>IF('Summary dashboard'!$B$1="Unit cost approach",E_unitcost!D20,IF('Summary dashboard'!$B$1="Budgeted expenditure approach",E_budgeted!D155,IF('Summary dashboard'!$B$1="Minimum cost approach",E_mincost!D119,"ERROR")))</f>
        <v>44328671.455806822</v>
      </c>
      <c r="E32" s="29">
        <f>IF('Summary dashboard'!$B$1="Unit cost approach",E_unitcost!E20,IF('Summary dashboard'!$B$1="Budgeted expenditure approach",E_budgeted!E155,IF('Summary dashboard'!$B$1="Minimum cost approach",E_mincost!E119,"ERROR")))</f>
        <v>44328671.455806822</v>
      </c>
      <c r="F32" s="29">
        <f>IF('Summary dashboard'!$B$1="Unit cost approach",E_unitcost!F20,IF('Summary dashboard'!$B$1="Budgeted expenditure approach",E_budgeted!F155,IF('Summary dashboard'!$B$1="Minimum cost approach",E_mincost!F119,"ERROR")))</f>
        <v>44328671.455806822</v>
      </c>
      <c r="G32" s="29">
        <f>IF('Summary dashboard'!$B$1="Unit cost approach",E_unitcost!G20,IF('Summary dashboard'!$B$1="Budgeted expenditure approach",E_budgeted!G155,IF('Summary dashboard'!$B$1="Minimum cost approach",E_mincost!G119,"ERROR")))</f>
        <v>44328671.455806822</v>
      </c>
      <c r="H32" s="29">
        <f>IF('Summary dashboard'!$B$1="Unit cost approach",E_unitcost!H20,IF('Summary dashboard'!$B$1="Budgeted expenditure approach",E_budgeted!H155,IF('Summary dashboard'!$B$1="Minimum cost approach",E_mincost!H119,"ERROR")))</f>
        <v>44328671.455806822</v>
      </c>
      <c r="I32" s="29">
        <f>IF('Summary dashboard'!$B$1="Unit cost approach",E_unitcost!I20,IF('Summary dashboard'!$B$1="Budgeted expenditure approach",E_budgeted!I155,IF('Summary dashboard'!$B$1="Minimum cost approach",E_mincost!I119,"ERROR")))</f>
        <v>44328671.455806822</v>
      </c>
      <c r="J32" s="29">
        <f>IF('Summary dashboard'!$B$1="Unit cost approach",E_unitcost!J20,IF('Summary dashboard'!$B$1="Budgeted expenditure approach",E_budgeted!J155,IF('Summary dashboard'!$B$1="Minimum cost approach",E_mincost!J119,"ERROR")))</f>
        <v>44328671.455806822</v>
      </c>
      <c r="K32" s="29">
        <f>IF('Summary dashboard'!$B$1="Unit cost approach",E_unitcost!K20,IF('Summary dashboard'!$B$1="Budgeted expenditure approach",E_budgeted!K155,IF('Summary dashboard'!$B$1="Minimum cost approach",E_mincost!K119,"ERROR")))</f>
        <v>44328671.455806822</v>
      </c>
    </row>
    <row r="33" spans="1:11" x14ac:dyDescent="0.25">
      <c r="A33" s="31" t="s">
        <v>50</v>
      </c>
      <c r="B33" s="29">
        <f>IF('Summary dashboard'!$B$1="Unit cost approach",E_unitcost!B21,IF('Summary dashboard'!$B$1="Budgeted expenditure approach",E_budgeted!B226,IF('Summary dashboard'!$B$1="Minimum cost approach",E_mincost!B178,"ERROR")))</f>
        <v>35839919.067749999</v>
      </c>
      <c r="C33" s="29">
        <f>IF('Summary dashboard'!$B$1="Unit cost approach",E_unitcost!C21,IF('Summary dashboard'!$B$1="Budgeted expenditure approach",E_budgeted!C226,IF('Summary dashboard'!$B$1="Minimum cost approach",E_mincost!C178,"ERROR")))</f>
        <v>35839919.067749999</v>
      </c>
      <c r="D33" s="29">
        <f>IF('Summary dashboard'!$B$1="Unit cost approach",E_unitcost!D21,IF('Summary dashboard'!$B$1="Budgeted expenditure approach",E_budgeted!D226,IF('Summary dashboard'!$B$1="Minimum cost approach",E_mincost!D178,"ERROR")))</f>
        <v>35839919.067749999</v>
      </c>
      <c r="E33" s="29">
        <f>IF('Summary dashboard'!$B$1="Unit cost approach",E_unitcost!E21,IF('Summary dashboard'!$B$1="Budgeted expenditure approach",E_budgeted!E226,IF('Summary dashboard'!$B$1="Minimum cost approach",E_mincost!E178,"ERROR")))</f>
        <v>35839919.067749999</v>
      </c>
      <c r="F33" s="29">
        <f>IF('Summary dashboard'!$B$1="Unit cost approach",E_unitcost!F21,IF('Summary dashboard'!$B$1="Budgeted expenditure approach",E_budgeted!F226,IF('Summary dashboard'!$B$1="Minimum cost approach",E_mincost!F178,"ERROR")))</f>
        <v>35839919.067749999</v>
      </c>
      <c r="G33" s="29">
        <f>IF('Summary dashboard'!$B$1="Unit cost approach",E_unitcost!G21,IF('Summary dashboard'!$B$1="Budgeted expenditure approach",E_budgeted!G226,IF('Summary dashboard'!$B$1="Minimum cost approach",E_mincost!G178,"ERROR")))</f>
        <v>35839919.067749999</v>
      </c>
      <c r="H33" s="29">
        <f>IF('Summary dashboard'!$B$1="Unit cost approach",E_unitcost!H21,IF('Summary dashboard'!$B$1="Budgeted expenditure approach",E_budgeted!H226,IF('Summary dashboard'!$B$1="Minimum cost approach",E_mincost!H178,"ERROR")))</f>
        <v>35839919.067749999</v>
      </c>
      <c r="I33" s="29">
        <f>IF('Summary dashboard'!$B$1="Unit cost approach",E_unitcost!I21,IF('Summary dashboard'!$B$1="Budgeted expenditure approach",E_budgeted!I226,IF('Summary dashboard'!$B$1="Minimum cost approach",E_mincost!I178,"ERROR")))</f>
        <v>35839919.067749999</v>
      </c>
      <c r="J33" s="29">
        <f>IF('Summary dashboard'!$B$1="Unit cost approach",E_unitcost!J21,IF('Summary dashboard'!$B$1="Budgeted expenditure approach",E_budgeted!J226,IF('Summary dashboard'!$B$1="Minimum cost approach",E_mincost!J178,"ERROR")))</f>
        <v>35839919.067749999</v>
      </c>
      <c r="K33" s="29">
        <f>IF('Summary dashboard'!$B$1="Unit cost approach",E_unitcost!K21,IF('Summary dashboard'!$B$1="Budgeted expenditure approach",E_budgeted!K226,IF('Summary dashboard'!$B$1="Minimum cost approach",E_mincost!K178,"ERROR")))</f>
        <v>35839919.067749999</v>
      </c>
    </row>
    <row r="34" spans="1:11" x14ac:dyDescent="0.25">
      <c r="A34" s="31" t="s">
        <v>33</v>
      </c>
      <c r="B34" s="29">
        <f>IF('Summary dashboard'!$B$1="Unit cost approach",E_unitcost!B22,IF('Summary dashboard'!$B$1="Budgeted expenditure approach",E_budgeted!B297,IF('Summary dashboard'!$B$1="Minimum cost approach",E_mincost!B237,"ERROR")))</f>
        <v>52187951.761067331</v>
      </c>
      <c r="C34" s="29">
        <f>IF('Summary dashboard'!$B$1="Unit cost approach",E_unitcost!C22,IF('Summary dashboard'!$B$1="Budgeted expenditure approach",E_budgeted!C297,IF('Summary dashboard'!$B$1="Minimum cost approach",E_mincost!C237,"ERROR")))</f>
        <v>52187951.761067331</v>
      </c>
      <c r="D34" s="29">
        <f>IF('Summary dashboard'!$B$1="Unit cost approach",E_unitcost!D22,IF('Summary dashboard'!$B$1="Budgeted expenditure approach",E_budgeted!D297,IF('Summary dashboard'!$B$1="Minimum cost approach",E_mincost!D237,"ERROR")))</f>
        <v>52187951.761067331</v>
      </c>
      <c r="E34" s="29">
        <f>IF('Summary dashboard'!$B$1="Unit cost approach",E_unitcost!E22,IF('Summary dashboard'!$B$1="Budgeted expenditure approach",E_budgeted!E297,IF('Summary dashboard'!$B$1="Minimum cost approach",E_mincost!E237,"ERROR")))</f>
        <v>52187951.761067331</v>
      </c>
      <c r="F34" s="29">
        <f>IF('Summary dashboard'!$B$1="Unit cost approach",E_unitcost!F22,IF('Summary dashboard'!$B$1="Budgeted expenditure approach",E_budgeted!F297,IF('Summary dashboard'!$B$1="Minimum cost approach",E_mincost!F237,"ERROR")))</f>
        <v>52187951.761067331</v>
      </c>
      <c r="G34" s="29">
        <f>IF('Summary dashboard'!$B$1="Unit cost approach",E_unitcost!G22,IF('Summary dashboard'!$B$1="Budgeted expenditure approach",E_budgeted!G297,IF('Summary dashboard'!$B$1="Minimum cost approach",E_mincost!G237,"ERROR")))</f>
        <v>52187951.761067331</v>
      </c>
      <c r="H34" s="29">
        <f>IF('Summary dashboard'!$B$1="Unit cost approach",E_unitcost!H22,IF('Summary dashboard'!$B$1="Budgeted expenditure approach",E_budgeted!H297,IF('Summary dashboard'!$B$1="Minimum cost approach",E_mincost!H237,"ERROR")))</f>
        <v>52187951.761067331</v>
      </c>
      <c r="I34" s="29">
        <f>IF('Summary dashboard'!$B$1="Unit cost approach",E_unitcost!I22,IF('Summary dashboard'!$B$1="Budgeted expenditure approach",E_budgeted!I297,IF('Summary dashboard'!$B$1="Minimum cost approach",E_mincost!I237,"ERROR")))</f>
        <v>52187951.761067331</v>
      </c>
      <c r="J34" s="29">
        <f>IF('Summary dashboard'!$B$1="Unit cost approach",E_unitcost!J22,IF('Summary dashboard'!$B$1="Budgeted expenditure approach",E_budgeted!J297,IF('Summary dashboard'!$B$1="Minimum cost approach",E_mincost!J237,"ERROR")))</f>
        <v>52187951.761067331</v>
      </c>
      <c r="K34" s="29">
        <f>IF('Summary dashboard'!$B$1="Unit cost approach",E_unitcost!K22,IF('Summary dashboard'!$B$1="Budgeted expenditure approach",E_budgeted!K297,IF('Summary dashboard'!$B$1="Minimum cost approach",E_mincost!K237,"ERROR")))</f>
        <v>52187951.761067331</v>
      </c>
    </row>
    <row r="35" spans="1:11" x14ac:dyDescent="0.25">
      <c r="A35" s="31" t="s">
        <v>32</v>
      </c>
      <c r="B35" s="29">
        <f>IF('Summary dashboard'!$B$1="Unit cost approach",E_unitcost!B23,IF('Summary dashboard'!$B$1="Budgeted expenditure approach",E_budgeted!B368,IF('Summary dashboard'!$B$1="Minimum cost approach",E_mincost!B296,"ERROR")))</f>
        <v>34285854.535066664</v>
      </c>
      <c r="C35" s="29">
        <f>IF('Summary dashboard'!$B$1="Unit cost approach",E_unitcost!C23,IF('Summary dashboard'!$B$1="Budgeted expenditure approach",E_budgeted!C368,IF('Summary dashboard'!$B$1="Minimum cost approach",E_mincost!C296,"ERROR")))</f>
        <v>34285854.535066664</v>
      </c>
      <c r="D35" s="29">
        <f>IF('Summary dashboard'!$B$1="Unit cost approach",E_unitcost!D23,IF('Summary dashboard'!$B$1="Budgeted expenditure approach",E_budgeted!D368,IF('Summary dashboard'!$B$1="Minimum cost approach",E_mincost!D296,"ERROR")))</f>
        <v>34285854.535066664</v>
      </c>
      <c r="E35" s="29">
        <f>IF('Summary dashboard'!$B$1="Unit cost approach",E_unitcost!E23,IF('Summary dashboard'!$B$1="Budgeted expenditure approach",E_budgeted!E368,IF('Summary dashboard'!$B$1="Minimum cost approach",E_mincost!E296,"ERROR")))</f>
        <v>34285854.535066664</v>
      </c>
      <c r="F35" s="29">
        <f>IF('Summary dashboard'!$B$1="Unit cost approach",E_unitcost!F23,IF('Summary dashboard'!$B$1="Budgeted expenditure approach",E_budgeted!F368,IF('Summary dashboard'!$B$1="Minimum cost approach",E_mincost!F296,"ERROR")))</f>
        <v>34285854.535066664</v>
      </c>
      <c r="G35" s="29">
        <f>IF('Summary dashboard'!$B$1="Unit cost approach",E_unitcost!G23,IF('Summary dashboard'!$B$1="Budgeted expenditure approach",E_budgeted!G368,IF('Summary dashboard'!$B$1="Minimum cost approach",E_mincost!G296,"ERROR")))</f>
        <v>34285854.535066664</v>
      </c>
      <c r="H35" s="29">
        <f>IF('Summary dashboard'!$B$1="Unit cost approach",E_unitcost!H23,IF('Summary dashboard'!$B$1="Budgeted expenditure approach",E_budgeted!H368,IF('Summary dashboard'!$B$1="Minimum cost approach",E_mincost!H296,"ERROR")))</f>
        <v>34285854.535066664</v>
      </c>
      <c r="I35" s="29">
        <f>IF('Summary dashboard'!$B$1="Unit cost approach",E_unitcost!I23,IF('Summary dashboard'!$B$1="Budgeted expenditure approach",E_budgeted!I368,IF('Summary dashboard'!$B$1="Minimum cost approach",E_mincost!I296,"ERROR")))</f>
        <v>34285854.535066664</v>
      </c>
      <c r="J35" s="29">
        <f>IF('Summary dashboard'!$B$1="Unit cost approach",E_unitcost!J23,IF('Summary dashboard'!$B$1="Budgeted expenditure approach",E_budgeted!J368,IF('Summary dashboard'!$B$1="Minimum cost approach",E_mincost!J296,"ERROR")))</f>
        <v>34285854.535066664</v>
      </c>
      <c r="K35" s="29">
        <f>IF('Summary dashboard'!$B$1="Unit cost approach",E_unitcost!K23,IF('Summary dashboard'!$B$1="Budgeted expenditure approach",E_budgeted!K368,IF('Summary dashboard'!$B$1="Minimum cost approach",E_mincost!K296,"ERROR")))</f>
        <v>34285854.535066664</v>
      </c>
    </row>
    <row r="36" spans="1:11" x14ac:dyDescent="0.25">
      <c r="A36" s="31" t="s">
        <v>34</v>
      </c>
      <c r="B36" s="29">
        <f>IF('Summary dashboard'!$B$1="Unit cost approach",E_unitcost!B24,IF('Summary dashboard'!$B$1="Budgeted expenditure approach",E_budgeted!B439,IF('Summary dashboard'!$B$1="Minimum cost approach",E_mincost!B355,"ERROR")))</f>
        <v>53993494.475275807</v>
      </c>
      <c r="C36" s="29">
        <f>IF('Summary dashboard'!$B$1="Unit cost approach",E_unitcost!C24,IF('Summary dashboard'!$B$1="Budgeted expenditure approach",E_budgeted!C439,IF('Summary dashboard'!$B$1="Minimum cost approach",E_mincost!C355,"ERROR")))</f>
        <v>53993494.475275807</v>
      </c>
      <c r="D36" s="29">
        <f>IF('Summary dashboard'!$B$1="Unit cost approach",E_unitcost!D24,IF('Summary dashboard'!$B$1="Budgeted expenditure approach",E_budgeted!D439,IF('Summary dashboard'!$B$1="Minimum cost approach",E_mincost!D355,"ERROR")))</f>
        <v>53993494.475275807</v>
      </c>
      <c r="E36" s="29">
        <f>IF('Summary dashboard'!$B$1="Unit cost approach",E_unitcost!E24,IF('Summary dashboard'!$B$1="Budgeted expenditure approach",E_budgeted!E439,IF('Summary dashboard'!$B$1="Minimum cost approach",E_mincost!E355,"ERROR")))</f>
        <v>53993494.475275807</v>
      </c>
      <c r="F36" s="29">
        <f>IF('Summary dashboard'!$B$1="Unit cost approach",E_unitcost!F24,IF('Summary dashboard'!$B$1="Budgeted expenditure approach",E_budgeted!F439,IF('Summary dashboard'!$B$1="Minimum cost approach",E_mincost!F355,"ERROR")))</f>
        <v>53993494.475275807</v>
      </c>
      <c r="G36" s="29">
        <f>IF('Summary dashboard'!$B$1="Unit cost approach",E_unitcost!G24,IF('Summary dashboard'!$B$1="Budgeted expenditure approach",E_budgeted!G439,IF('Summary dashboard'!$B$1="Minimum cost approach",E_mincost!G355,"ERROR")))</f>
        <v>53993494.475275807</v>
      </c>
      <c r="H36" s="29">
        <f>IF('Summary dashboard'!$B$1="Unit cost approach",E_unitcost!H24,IF('Summary dashboard'!$B$1="Budgeted expenditure approach",E_budgeted!H439,IF('Summary dashboard'!$B$1="Minimum cost approach",E_mincost!H355,"ERROR")))</f>
        <v>53993494.475275807</v>
      </c>
      <c r="I36" s="29">
        <f>IF('Summary dashboard'!$B$1="Unit cost approach",E_unitcost!I24,IF('Summary dashboard'!$B$1="Budgeted expenditure approach",E_budgeted!I439,IF('Summary dashboard'!$B$1="Minimum cost approach",E_mincost!I355,"ERROR")))</f>
        <v>53993494.475275807</v>
      </c>
      <c r="J36" s="29">
        <f>IF('Summary dashboard'!$B$1="Unit cost approach",E_unitcost!J24,IF('Summary dashboard'!$B$1="Budgeted expenditure approach",E_budgeted!J439,IF('Summary dashboard'!$B$1="Minimum cost approach",E_mincost!J355,"ERROR")))</f>
        <v>53993494.475275807</v>
      </c>
      <c r="K36" s="29">
        <f>IF('Summary dashboard'!$B$1="Unit cost approach",E_unitcost!K24,IF('Summary dashboard'!$B$1="Budgeted expenditure approach",E_budgeted!K439,IF('Summary dashboard'!$B$1="Minimum cost approach",E_mincost!K355,"ERROR")))</f>
        <v>53993494.475275807</v>
      </c>
    </row>
    <row r="37" spans="1:11" x14ac:dyDescent="0.25">
      <c r="A37" s="69" t="s">
        <v>66</v>
      </c>
      <c r="B37" s="68">
        <f t="shared" ref="B37" si="1">SUM(B31:B36)</f>
        <v>263082808.77185997</v>
      </c>
      <c r="C37" s="68">
        <f t="shared" ref="C37:K37" si="2">SUM(C31:C36)</f>
        <v>263082808.77185997</v>
      </c>
      <c r="D37" s="68">
        <f t="shared" si="2"/>
        <v>263082808.77185997</v>
      </c>
      <c r="E37" s="68">
        <f t="shared" si="2"/>
        <v>263082808.77185997</v>
      </c>
      <c r="F37" s="68">
        <f t="shared" si="2"/>
        <v>263082808.77185997</v>
      </c>
      <c r="G37" s="68">
        <f t="shared" si="2"/>
        <v>263082808.77185997</v>
      </c>
      <c r="H37" s="68">
        <f t="shared" si="2"/>
        <v>263082808.77185997</v>
      </c>
      <c r="I37" s="68">
        <f t="shared" si="2"/>
        <v>263082808.77185997</v>
      </c>
      <c r="J37" s="68">
        <f t="shared" si="2"/>
        <v>263082808.77185997</v>
      </c>
      <c r="K37" s="68">
        <f t="shared" si="2"/>
        <v>263082808.77185997</v>
      </c>
    </row>
  </sheetData>
  <mergeCells count="28">
    <mergeCell ref="B22:C22"/>
    <mergeCell ref="B23:C23"/>
    <mergeCell ref="B24:C24"/>
    <mergeCell ref="B25:C25"/>
    <mergeCell ref="B27:C27"/>
    <mergeCell ref="D18:E18"/>
    <mergeCell ref="D19:E19"/>
    <mergeCell ref="D20:E20"/>
    <mergeCell ref="D21:E21"/>
    <mergeCell ref="D22:E22"/>
    <mergeCell ref="B1:C1"/>
    <mergeCell ref="B18:C18"/>
    <mergeCell ref="B19:C19"/>
    <mergeCell ref="B20:C20"/>
    <mergeCell ref="B21:C21"/>
    <mergeCell ref="F18:G18"/>
    <mergeCell ref="F19:G19"/>
    <mergeCell ref="F20:G20"/>
    <mergeCell ref="F21:G21"/>
    <mergeCell ref="F22:G22"/>
    <mergeCell ref="F23:G23"/>
    <mergeCell ref="F24:G24"/>
    <mergeCell ref="F25:G25"/>
    <mergeCell ref="D27:E27"/>
    <mergeCell ref="F27:G27"/>
    <mergeCell ref="D24:E24"/>
    <mergeCell ref="D25:E25"/>
    <mergeCell ref="D23:E23"/>
  </mergeCells>
  <dataValidations count="2">
    <dataValidation type="list" allowBlank="1" showInputMessage="1" showErrorMessage="1" sqref="B1:C1" xr:uid="{22C6426C-51DE-49E1-8CFF-470BBA24366D}">
      <formula1>"Unit cost approach,Budgeted expenditure approach,Minimum cost approach"</formula1>
    </dataValidation>
    <dataValidation type="textLength" operator="equal" allowBlank="1" showInputMessage="1" showErrorMessage="1" sqref="B4" xr:uid="{B1451FEF-4535-4A6E-A7FA-6B2160539C7F}">
      <formula1>7</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FD6C31F8-C4E3-4103-80F5-4321A6F32DE1}">
          <x14:formula1>
            <xm:f>E_unitcost!$B$18:$K$18</xm:f>
          </x14:formula1>
          <xm:sqref>B16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24D40-F1A6-4BA0-B39E-C2E7F418D2AF}">
  <dimension ref="A1:L33"/>
  <sheetViews>
    <sheetView zoomScaleNormal="100" workbookViewId="0">
      <selection activeCell="A11" sqref="A11"/>
    </sheetView>
  </sheetViews>
  <sheetFormatPr defaultColWidth="8.7109375" defaultRowHeight="15" x14ac:dyDescent="0.25"/>
  <cols>
    <col min="1" max="1" width="38.140625" style="23" customWidth="1"/>
    <col min="2" max="3" width="15.140625" style="28" customWidth="1"/>
    <col min="4" max="11" width="15.140625" style="23" customWidth="1"/>
    <col min="12" max="16384" width="8.7109375" style="23"/>
  </cols>
  <sheetData>
    <row r="1" spans="1:7" x14ac:dyDescent="0.25">
      <c r="A1" s="33" t="s">
        <v>119</v>
      </c>
      <c r="B1" s="110" t="str">
        <f>'Summary dashboard'!B1</f>
        <v>Budgeted expenditure approach</v>
      </c>
      <c r="C1" s="111"/>
      <c r="D1" s="112"/>
    </row>
    <row r="2" spans="1:7" ht="14.45" customHeight="1" x14ac:dyDescent="0.25">
      <c r="A2" s="31" t="s">
        <v>10</v>
      </c>
      <c r="B2" s="114" t="s">
        <v>33</v>
      </c>
      <c r="C2" s="115"/>
      <c r="D2" s="116"/>
      <c r="E2" s="24"/>
    </row>
    <row r="3" spans="1:7" x14ac:dyDescent="0.25">
      <c r="B3" s="23"/>
      <c r="C3" s="23"/>
    </row>
    <row r="4" spans="1:7" ht="29.1" customHeight="1" x14ac:dyDescent="0.25">
      <c r="B4" s="113" t="str">
        <f>"Funding required for CMA public interest function for "&amp;B2&amp;" (2023)"</f>
        <v>Funding required for CMA public interest function for Vaal-Orange CMA (2023)</v>
      </c>
      <c r="C4" s="113"/>
      <c r="D4" s="113"/>
    </row>
    <row r="5" spans="1:7" x14ac:dyDescent="0.25">
      <c r="A5" s="24"/>
      <c r="B5" s="85" t="s">
        <v>41</v>
      </c>
      <c r="C5" s="85" t="s">
        <v>68</v>
      </c>
      <c r="D5" s="89" t="s">
        <v>40</v>
      </c>
      <c r="F5" s="50" t="str">
        <f>"Funding required for CMA public interest function for "&amp;B2</f>
        <v>Funding required for CMA public interest function for Vaal-Orange CMA</v>
      </c>
    </row>
    <row r="6" spans="1:7" x14ac:dyDescent="0.25">
      <c r="A6" s="39" t="s">
        <v>35</v>
      </c>
      <c r="B6" s="47" cm="1">
        <f t="array" aca="1" ref="B6" ca="1">IF('Summary dashboard'!$B$1="Unit cost approach",INDIRECT("'"&amp;$B$2&amp;"'!B58"),IF('Summary dashboard'!$B$1="Budgeted expenditure approach",E_budgeted!$B460,IF('Summary dashboard'!$B$1="Minimum cost approach",INDEX(E_mincost!$B$450:$B$460,MATCH($A6,E_mincost!$A$450:$A$460,0),1))))</f>
        <v>7416720.6795220003</v>
      </c>
      <c r="C6" s="47" cm="1">
        <f t="array" aca="1" ref="C6" ca="1">IF('Summary dashboard'!$B$1="Unit cost approach",INDIRECT("'"&amp;$B$2&amp;"'!B87"),IF('Summary dashboard'!$B$1="Budgeted expenditure approach",E_budgeted!$B488,IF('Summary dashboard'!$B$1="Minimum cost approach",INDEX(E_mincost!$B$479:$B$489,MATCH($A6,E_mincost!$A$450:$A$460,0),1))))</f>
        <v>6453510.2016620003</v>
      </c>
      <c r="D6" s="47" cm="1">
        <f t="array" aca="1" ref="D6" ca="1">IF('Summary dashboard'!$B$1="Unit cost approach",INDIRECT("'"&amp;$B$2&amp;"'!B73"),IF('Summary dashboard'!$B$1="Budgeted expenditure approach",E_budgeted!$B474,IF('Summary dashboard'!$B$1="Minimum cost approach",INDEX(E_mincost!$B$465:$B$475,MATCH($A6,E_mincost!$A$450:$A$460,0),1))))</f>
        <v>5490299.7238020003</v>
      </c>
      <c r="F6" s="27"/>
      <c r="G6" s="27"/>
    </row>
    <row r="7" spans="1:7" x14ac:dyDescent="0.25">
      <c r="A7" s="39" t="s">
        <v>36</v>
      </c>
      <c r="B7" s="47" cm="1">
        <f t="array" aca="1" ref="B7" ca="1">IF('Summary dashboard'!$B$1="Unit cost approach",INDIRECT("'"&amp;$B$2&amp;"'!B59"),IF('Summary dashboard'!$B$1="Budgeted expenditure approach",E_budgeted!$B461,IF('Summary dashboard'!$B$1="Minimum cost approach",INDEX(E_mincost!$B$450:$B$460,MATCH($A7,E_mincost!$A$450:$A$460,0),1))))</f>
        <v>2759053.3137000008</v>
      </c>
      <c r="C7" s="47" cm="1">
        <f t="array" aca="1" ref="C7" ca="1">IF('Summary dashboard'!$B$1="Unit cost approach",INDIRECT("'"&amp;$B$2&amp;"'!B88"),IF('Summary dashboard'!$B$1="Budgeted expenditure approach",E_budgeted!$B489,IF('Summary dashboard'!$B$1="Minimum cost approach",INDEX(E_mincost!$B$479:$B$489,MATCH($A7,E_mincost!$A$450:$A$460,0),1))))</f>
        <v>1839368.8758000005</v>
      </c>
      <c r="D7" s="47" cm="1">
        <f t="array" aca="1" ref="D7" ca="1">IF('Summary dashboard'!$B$1="Unit cost approach",INDIRECT("'"&amp;$B$2&amp;"'!B74"),IF('Summary dashboard'!$B$1="Budgeted expenditure approach",E_budgeted!$B475,IF('Summary dashboard'!$B$1="Minimum cost approach",INDEX(E_mincost!$B$465:$B$475,MATCH($A7,E_mincost!$A$450:$A$460,0),1))))</f>
        <v>919684.43790000014</v>
      </c>
      <c r="F7" s="27"/>
      <c r="G7" s="27"/>
    </row>
    <row r="8" spans="1:7" x14ac:dyDescent="0.25">
      <c r="A8" s="39" t="s">
        <v>11</v>
      </c>
      <c r="B8" s="47" cm="1">
        <f t="array" aca="1" ref="B8" ca="1">IF('Summary dashboard'!$B$1="Unit cost approach",INDIRECT("'"&amp;$B$2&amp;"'!B60"),IF('Summary dashboard'!$B$1="Budgeted expenditure approach",E_budgeted!$B462,IF('Summary dashboard'!$B$1="Minimum cost approach",INDEX(E_mincost!$B$450:$B$460,MATCH($A8,E_mincost!$A$450:$A$460,0),1))))</f>
        <v>0</v>
      </c>
      <c r="C8" s="47" cm="1">
        <f t="array" aca="1" ref="C8" ca="1">IF('Summary dashboard'!$B$1="Unit cost approach",INDIRECT("'"&amp;$B$2&amp;"'!B89"),IF('Summary dashboard'!$B$1="Budgeted expenditure approach",E_budgeted!$B490,IF('Summary dashboard'!$B$1="Minimum cost approach",INDEX(E_mincost!$B$479:$B$489,MATCH($A8,E_mincost!$A$450:$A$460,0),1))))</f>
        <v>0</v>
      </c>
      <c r="D8" s="47" cm="1">
        <f t="array" aca="1" ref="D8" ca="1">IF('Summary dashboard'!$B$1="Unit cost approach",INDIRECT("'"&amp;$B$2&amp;"'!B75"),IF('Summary dashboard'!$B$1="Budgeted expenditure approach",E_budgeted!$B476,IF('Summary dashboard'!$B$1="Minimum cost approach",INDEX(E_mincost!$B$465:$B$475,MATCH($A8,E_mincost!$A$450:$A$460,0),1))))</f>
        <v>0</v>
      </c>
      <c r="F8" s="27"/>
      <c r="G8" s="27"/>
    </row>
    <row r="9" spans="1:7" x14ac:dyDescent="0.25">
      <c r="A9" s="39" t="s">
        <v>124</v>
      </c>
      <c r="B9" s="47" cm="1">
        <f t="array" aca="1" ref="B9" ca="1">IF('Summary dashboard'!$B$1="Unit cost approach",INDIRECT("'"&amp;$B$2&amp;"'!B61"),IF('Summary dashboard'!$B$1="Budgeted expenditure approach",E_budgeted!$B463,IF('Summary dashboard'!$B$1="Minimum cost approach",INDEX(E_mincost!$B$450:$B$460,MATCH($A9,E_mincost!$A$450:$A$460,0),1))))</f>
        <v>4945191.5240000002</v>
      </c>
      <c r="C9" s="47" cm="1">
        <f t="array" aca="1" ref="C9" ca="1">IF('Summary dashboard'!$B$1="Unit cost approach",INDIRECT("'"&amp;$B$2&amp;"'!B90"),IF('Summary dashboard'!$B$1="Budgeted expenditure approach",E_budgeted!$B491,IF('Summary dashboard'!$B$1="Minimum cost approach",INDEX(E_mincost!$B$479:$B$489,MATCH($A9,E_mincost!$A$450:$A$460,0),1))))</f>
        <v>4327042.5835000006</v>
      </c>
      <c r="D9" s="47" cm="1">
        <f t="array" aca="1" ref="D9" ca="1">IF('Summary dashboard'!$B$1="Unit cost approach",INDIRECT("'"&amp;$B$2&amp;"'!B76"),IF('Summary dashboard'!$B$1="Budgeted expenditure approach",E_budgeted!$B477,IF('Summary dashboard'!$B$1="Minimum cost approach",INDEX(E_mincost!$B$465:$B$475,MATCH($A9,E_mincost!$A$450:$A$460,0),1))))</f>
        <v>3708893.6430000006</v>
      </c>
      <c r="F9" s="27"/>
      <c r="G9" s="27"/>
    </row>
    <row r="10" spans="1:7" x14ac:dyDescent="0.25">
      <c r="A10" s="39" t="s">
        <v>12</v>
      </c>
      <c r="B10" s="47" cm="1">
        <f t="array" aca="1" ref="B10" ca="1">IF('Summary dashboard'!$B$1="Unit cost approach",INDIRECT("'"&amp;$B$2&amp;"'!B62"),IF('Summary dashboard'!$B$1="Budgeted expenditure approach",E_budgeted!$B464,IF('Summary dashboard'!$B$1="Minimum cost approach",INDEX(E_mincost!$B$450:$B$460,MATCH($A10,E_mincost!$A$450:$A$460,0),1))))</f>
        <v>4633987.658846668</v>
      </c>
      <c r="C10" s="47" cm="1">
        <f t="array" aca="1" ref="C10" ca="1">IF('Summary dashboard'!$B$1="Unit cost approach",INDIRECT("'"&amp;$B$2&amp;"'!B91"),IF('Summary dashboard'!$B$1="Budgeted expenditure approach",E_budgeted!$B492,IF('Summary dashboard'!$B$1="Minimum cost approach",INDEX(E_mincost!$B$479:$B$489,MATCH($A10,E_mincost!$A$450:$A$460,0),1))))</f>
        <v>2316993.829423334</v>
      </c>
      <c r="D10" s="47" cm="1">
        <f t="array" aca="1" ref="D10" ca="1">IF('Summary dashboard'!$B$1="Unit cost approach",INDIRECT("'"&amp;$B$2&amp;"'!B77"),IF('Summary dashboard'!$B$1="Budgeted expenditure approach",E_budgeted!$B478,IF('Summary dashboard'!$B$1="Minimum cost approach",INDEX(E_mincost!$B$465:$B$475,MATCH($A10,E_mincost!$A$450:$A$460,0),1))))</f>
        <v>0</v>
      </c>
      <c r="F10" s="27"/>
      <c r="G10" s="27"/>
    </row>
    <row r="11" spans="1:7" x14ac:dyDescent="0.25">
      <c r="A11" s="39" t="s">
        <v>13</v>
      </c>
      <c r="B11" s="47" cm="1">
        <f t="array" aca="1" ref="B11" ca="1">IF('Summary dashboard'!$B$1="Unit cost approach",INDIRECT("'"&amp;$B$2&amp;"'!B63"),IF('Summary dashboard'!$B$1="Budgeted expenditure approach",E_budgeted!$B465,IF('Summary dashboard'!$B$1="Minimum cost approach",INDEX(E_mincost!$B$450:$B$460,MATCH($A11,E_mincost!$A$450:$A$460,0),1))))</f>
        <v>0</v>
      </c>
      <c r="C11" s="47" cm="1">
        <f t="array" aca="1" ref="C11" ca="1">IF('Summary dashboard'!$B$1="Unit cost approach",INDIRECT("'"&amp;$B$2&amp;"'!B92"),IF('Summary dashboard'!$B$1="Budgeted expenditure approach",E_budgeted!$B493,IF('Summary dashboard'!$B$1="Minimum cost approach",INDEX(E_mincost!$B$479:$B$489,MATCH($A11,E_mincost!$A$450:$A$460,0),1))))</f>
        <v>0</v>
      </c>
      <c r="D11" s="47" cm="1">
        <f t="array" aca="1" ref="D11" ca="1">IF('Summary dashboard'!$B$1="Unit cost approach",INDIRECT("'"&amp;$B$2&amp;"'!B78"),IF('Summary dashboard'!$B$1="Budgeted expenditure approach",E_budgeted!$B479,IF('Summary dashboard'!$B$1="Minimum cost approach",INDEX(E_mincost!$B$465:$B$475,MATCH($A11,E_mincost!$A$450:$A$460,0),1))))</f>
        <v>0</v>
      </c>
      <c r="F11" s="27"/>
      <c r="G11" s="27"/>
    </row>
    <row r="12" spans="1:7" x14ac:dyDescent="0.25">
      <c r="A12" s="39" t="s">
        <v>14</v>
      </c>
      <c r="B12" s="47" cm="1">
        <f t="array" aca="1" ref="B12" ca="1">IF('Summary dashboard'!$B$1="Unit cost approach",INDIRECT("'"&amp;$B$2&amp;"'!B64"),IF('Summary dashboard'!$B$1="Budgeted expenditure approach",E_budgeted!$B466,IF('Summary dashboard'!$B$1="Minimum cost approach",INDEX(E_mincost!$B$450:$B$460,MATCH($A12,E_mincost!$A$450:$A$460,0),1))))</f>
        <v>0</v>
      </c>
      <c r="C12" s="47" cm="1">
        <f t="array" aca="1" ref="C12" ca="1">IF('Summary dashboard'!$B$1="Unit cost approach",INDIRECT("'"&amp;$B$2&amp;"'!B93"),IF('Summary dashboard'!$B$1="Budgeted expenditure approach",E_budgeted!$B494,IF('Summary dashboard'!$B$1="Minimum cost approach",INDEX(E_mincost!$B$479:$B$489,MATCH($A12,E_mincost!$A$450:$A$460,0),1))))</f>
        <v>0</v>
      </c>
      <c r="D12" s="47" cm="1">
        <f t="array" aca="1" ref="D12" ca="1">IF('Summary dashboard'!$B$1="Unit cost approach",INDIRECT("'"&amp;$B$2&amp;"'!B79"),IF('Summary dashboard'!$B$1="Budgeted expenditure approach",E_budgeted!$B480,IF('Summary dashboard'!$B$1="Minimum cost approach",INDEX(E_mincost!$B$465:$B$475,MATCH($A12,E_mincost!$A$450:$A$460,0),1))))</f>
        <v>0</v>
      </c>
      <c r="F12" s="27"/>
      <c r="G12" s="27"/>
    </row>
    <row r="13" spans="1:7" x14ac:dyDescent="0.25">
      <c r="A13" s="39" t="s">
        <v>125</v>
      </c>
      <c r="B13" s="47" cm="1">
        <f t="array" aca="1" ref="B13" ca="1">IF('Summary dashboard'!$B$1="Unit cost approach",INDIRECT("'"&amp;$B$2&amp;"'!B65"),IF('Summary dashboard'!$B$1="Budgeted expenditure approach",E_budgeted!$B467,IF('Summary dashboard'!$B$1="Minimum cost approach",INDEX(E_mincost!$B$450:$B$460,MATCH($A13,E_mincost!$A$450:$A$460,0),1))))</f>
        <v>0</v>
      </c>
      <c r="C13" s="47" cm="1">
        <f t="array" aca="1" ref="C13" ca="1">IF('Summary dashboard'!$B$1="Unit cost approach",INDIRECT("'"&amp;$B$2&amp;"'!B94"),IF('Summary dashboard'!$B$1="Budgeted expenditure approach",E_budgeted!$B495,IF('Summary dashboard'!$B$1="Minimum cost approach",INDEX(E_mincost!$B$479:$B$489,MATCH($A13,E_mincost!$A$450:$A$460,0),1))))</f>
        <v>0</v>
      </c>
      <c r="D13" s="47" cm="1">
        <f t="array" aca="1" ref="D13" ca="1">IF('Summary dashboard'!$B$1="Unit cost approach",INDIRECT("'"&amp;$B$2&amp;"'!B80"),IF('Summary dashboard'!$B$1="Budgeted expenditure approach",E_budgeted!$B481,IF('Summary dashboard'!$B$1="Minimum cost approach",INDEX(E_mincost!$B$465:$B$475,MATCH($A13,E_mincost!$A$450:$A$460,0),1))))</f>
        <v>0</v>
      </c>
      <c r="F13" s="27"/>
      <c r="G13" s="27"/>
    </row>
    <row r="14" spans="1:7" x14ac:dyDescent="0.25">
      <c r="A14" s="39" t="s">
        <v>37</v>
      </c>
      <c r="B14" s="47" cm="1">
        <f t="array" aca="1" ref="B14" ca="1">IF('Summary dashboard'!$B$1="Unit cost approach",INDIRECT("'"&amp;$B$2&amp;"'!B66"),IF('Summary dashboard'!$B$1="Budgeted expenditure approach",E_budgeted!$B468,IF('Summary dashboard'!$B$1="Minimum cost approach",INDEX(E_mincost!$B$450:$B$460,MATCH($A14,E_mincost!$A$450:$A$460,0),1))))</f>
        <v>23792523.409871995</v>
      </c>
      <c r="C14" s="47" cm="1">
        <f t="array" aca="1" ref="C14" ca="1">IF('Summary dashboard'!$B$1="Unit cost approach",INDIRECT("'"&amp;$B$2&amp;"'!B95"),IF('Summary dashboard'!$B$1="Budgeted expenditure approach",E_budgeted!$B496,IF('Summary dashboard'!$B$1="Minimum cost approach",INDEX(E_mincost!$B$479:$B$489,MATCH($A14,E_mincost!$A$450:$A$460,0),1))))</f>
        <v>20015932.392431997</v>
      </c>
      <c r="D14" s="47" cm="1">
        <f t="array" aca="1" ref="D14" ca="1">IF('Summary dashboard'!$B$1="Unit cost approach",INDIRECT("'"&amp;$B$2&amp;"'!B81"),IF('Summary dashboard'!$B$1="Budgeted expenditure approach",E_budgeted!$B482,IF('Summary dashboard'!$B$1="Minimum cost approach",INDEX(E_mincost!$B$465:$B$475,MATCH($A14,E_mincost!$A$450:$A$460,0),1))))</f>
        <v>16239341.374992</v>
      </c>
      <c r="F14" s="27"/>
      <c r="G14" s="27"/>
    </row>
    <row r="15" spans="1:7" x14ac:dyDescent="0.25">
      <c r="A15" s="39" t="s">
        <v>38</v>
      </c>
      <c r="B15" s="47" cm="1">
        <f t="array" aca="1" ref="B15" ca="1">IF('Summary dashboard'!$B$1="Unit cost approach",INDIRECT("'"&amp;$B$2&amp;"'!B67"),IF('Summary dashboard'!$B$1="Budgeted expenditure approach",E_budgeted!$B469,IF('Summary dashboard'!$B$1="Minimum cost approach",INDEX(E_mincost!$B$450:$B$460,MATCH($A15,E_mincost!$A$450:$A$460,0),1))))</f>
        <v>1488478.9340000006</v>
      </c>
      <c r="C15" s="47" cm="1">
        <f t="array" aca="1" ref="C15" ca="1">IF('Summary dashboard'!$B$1="Unit cost approach",INDIRECT("'"&amp;$B$2&amp;"'!B96"),IF('Summary dashboard'!$B$1="Budgeted expenditure approach",E_budgeted!$B497,IF('Summary dashboard'!$B$1="Minimum cost approach",INDEX(E_mincost!$B$479:$B$489,MATCH($A15,E_mincost!$A$450:$A$460,0),1))))</f>
        <v>744239.4670000003</v>
      </c>
      <c r="D15" s="47" cm="1">
        <f t="array" aca="1" ref="D15" ca="1">IF('Summary dashboard'!$B$1="Unit cost approach",INDIRECT("'"&amp;$B$2&amp;"'!B82"),IF('Summary dashboard'!$B$1="Budgeted expenditure approach",E_budgeted!$B483,IF('Summary dashboard'!$B$1="Minimum cost approach",INDEX(E_mincost!$B$465:$B$475,MATCH($A15,E_mincost!$A$450:$A$460,0),1))))</f>
        <v>0</v>
      </c>
      <c r="F15" s="27"/>
      <c r="G15" s="27"/>
    </row>
    <row r="16" spans="1:7" x14ac:dyDescent="0.25">
      <c r="A16" s="39" t="s">
        <v>15</v>
      </c>
      <c r="B16" s="47" cm="1">
        <f t="array" aca="1" ref="B16" ca="1">IF('Summary dashboard'!$B$1="Unit cost approach",INDIRECT("'"&amp;$B$2&amp;"'!B68"),IF('Summary dashboard'!$B$1="Budgeted expenditure approach",E_budgeted!$B470,IF('Summary dashboard'!$B$1="Minimum cost approach",INDEX(E_mincost!$B$450:$B$460,MATCH($A16,E_mincost!$A$450:$A$460,0),1))))</f>
        <v>21987819.215</v>
      </c>
      <c r="C16" s="47" cm="1">
        <f t="array" aca="1" ref="C16" ca="1">IF('Summary dashboard'!$B$1="Unit cost approach",INDIRECT("'"&amp;$B$2&amp;"'!B97"),IF('Summary dashboard'!$B$1="Budgeted expenditure approach",E_budgeted!$B498,IF('Summary dashboard'!$B$1="Minimum cost approach",INDEX(E_mincost!$B$479:$B$489,MATCH($A16,E_mincost!$A$450:$A$460,0),1))))</f>
        <v>16490864.411249999</v>
      </c>
      <c r="D16" s="47" cm="1">
        <f t="array" aca="1" ref="D16" ca="1">IF('Summary dashboard'!$B$1="Unit cost approach",INDIRECT("'"&amp;$B$2&amp;"'!B83"),IF('Summary dashboard'!$B$1="Budgeted expenditure approach",E_budgeted!$B484,IF('Summary dashboard'!$B$1="Minimum cost approach",INDEX(E_mincost!$B$465:$B$475,MATCH($A16,E_mincost!$A$450:$A$460,0),1))))</f>
        <v>10993909.607499998</v>
      </c>
      <c r="F16" s="27"/>
      <c r="G16" s="27"/>
    </row>
    <row r="17" spans="1:12" x14ac:dyDescent="0.25">
      <c r="A17" s="52" t="s">
        <v>69</v>
      </c>
      <c r="B17" s="51">
        <f ca="1">SUM(B6:B16)</f>
        <v>67023774.734940663</v>
      </c>
      <c r="C17" s="65">
        <f t="shared" ref="C17:D17" ca="1" si="0">SUM(C6:C16)</f>
        <v>52187951.761067331</v>
      </c>
      <c r="D17" s="65">
        <f t="shared" ca="1" si="0"/>
        <v>37352128.787193999</v>
      </c>
      <c r="F17" s="27"/>
    </row>
    <row r="18" spans="1:12" ht="4.5" customHeight="1" x14ac:dyDescent="0.25">
      <c r="B18" s="25"/>
      <c r="C18" s="25"/>
      <c r="D18" s="25"/>
    </row>
    <row r="19" spans="1:12" ht="30" x14ac:dyDescent="0.25">
      <c r="A19" s="66" t="s">
        <v>96</v>
      </c>
      <c r="B19" s="71" cm="1">
        <f t="array" aca="1" ref="B19" ca="1">IF('Summary dashboard'!$B$1="Unit cost approach",INDIRECT("'"&amp;$B$2&amp;"'!b104"),IF('Summary dashboard'!$B$1="Budgeted expenditure approach",E_budgeted!B472,IF('Summary dashboard'!$B$1="Minimum cost approach",E_mincost!B462)))</f>
        <v>0.37449608316971372</v>
      </c>
      <c r="C19" s="71" cm="1">
        <f t="array" aca="1" ref="C19" ca="1">IF('Summary dashboard'!$B$1="Unit cost approach",INDIRECT("'"&amp;$B$2&amp;"'!b103"),IF('Summary dashboard'!$B$1="Budgeted expenditure approach",E_budgeted!B500,IF('Summary dashboard'!$B$1="Minimum cost approach",E_mincost!B491)))</f>
        <v>0.29160075809608133</v>
      </c>
      <c r="D19" s="71" cm="1">
        <f t="array" aca="1" ref="D19" ca="1">IF('Summary dashboard'!$B$1="Unit cost approach",INDIRECT("'"&amp;$B$2&amp;"'!b102"),IF('Summary dashboard'!$B$1="Budgeted expenditure approach",E_budgeted!B486,IF('Summary dashboard'!$B$1="Minimum cost approach",E_mincost!B477)))</f>
        <v>0.2087054330224489</v>
      </c>
    </row>
    <row r="20" spans="1:12" ht="4.5" customHeight="1" x14ac:dyDescent="0.25">
      <c r="B20" s="26"/>
      <c r="C20" s="26"/>
      <c r="K20" s="27"/>
    </row>
    <row r="21" spans="1:12" s="88" customFormat="1" ht="18" customHeight="1" x14ac:dyDescent="0.25">
      <c r="A21" s="87" t="s">
        <v>74</v>
      </c>
      <c r="B21" s="85" t="str">
        <f>'Summary dashboard'!C4</f>
        <v>2023</v>
      </c>
      <c r="C21" s="85">
        <f>B21+1</f>
        <v>2024</v>
      </c>
      <c r="D21" s="85">
        <f t="shared" ref="D21:K21" si="1">C21+1</f>
        <v>2025</v>
      </c>
      <c r="E21" s="85">
        <f t="shared" si="1"/>
        <v>2026</v>
      </c>
      <c r="F21" s="85">
        <f t="shared" si="1"/>
        <v>2027</v>
      </c>
      <c r="G21" s="85">
        <f t="shared" si="1"/>
        <v>2028</v>
      </c>
      <c r="H21" s="85">
        <f t="shared" si="1"/>
        <v>2029</v>
      </c>
      <c r="I21" s="85">
        <f t="shared" si="1"/>
        <v>2030</v>
      </c>
      <c r="J21" s="85">
        <f>I21+1</f>
        <v>2031</v>
      </c>
      <c r="K21" s="85">
        <f t="shared" si="1"/>
        <v>2032</v>
      </c>
    </row>
    <row r="22" spans="1:12" x14ac:dyDescent="0.25">
      <c r="A22" s="39" t="s">
        <v>35</v>
      </c>
      <c r="B22" s="29" cm="1">
        <f t="array" aca="1" ref="B22" ca="1">IF('Summary dashboard'!$B$1="Unit cost approach",INDIRECT("'"&amp;$B$2&amp;"'!B87"),IF('Summary dashboard'!$B$1="Budgeted expenditure approach",E_budgeted!B488,IF('Summary dashboard'!$B$1="Minimum cost approach",E_mincost!B479)))</f>
        <v>6453510.2016620003</v>
      </c>
      <c r="C22" s="29" cm="1">
        <f t="array" aca="1" ref="C22" ca="1">IF('Summary dashboard'!$B$1="Unit cost approach",INDIRECT("'"&amp;$B$2&amp;"'!c87"),IF('Summary dashboard'!$B$1="Budgeted expenditure approach",E_budgeted!C488,IF('Summary dashboard'!$B$1="Minimum cost approach",E_mincost!C479)))</f>
        <v>6453510.2016620003</v>
      </c>
      <c r="D22" s="29" cm="1">
        <f t="array" aca="1" ref="D22" ca="1">IF('Summary dashboard'!$B$1="Unit cost approach",INDIRECT("'"&amp;$B$2&amp;"'!d87"),IF('Summary dashboard'!$B$1="Budgeted expenditure approach",E_budgeted!D488,IF('Summary dashboard'!$B$1="Minimum cost approach",E_mincost!D479)))</f>
        <v>6453510.2016620003</v>
      </c>
      <c r="E22" s="29" cm="1">
        <f t="array" aca="1" ref="E22" ca="1">IF('Summary dashboard'!$B$1="Unit cost approach",INDIRECT("'"&amp;$B$2&amp;"'!e87"),IF('Summary dashboard'!$B$1="Budgeted expenditure approach",E_budgeted!E488,IF('Summary dashboard'!$B$1="Minimum cost approach",E_mincost!E479)))</f>
        <v>6453510.2016620003</v>
      </c>
      <c r="F22" s="29" cm="1">
        <f t="array" aca="1" ref="F22" ca="1">IF('Summary dashboard'!$B$1="Unit cost approach",INDIRECT("'"&amp;$B$2&amp;"'!f87"),IF('Summary dashboard'!$B$1="Budgeted expenditure approach",E_budgeted!F488,IF('Summary dashboard'!$B$1="Minimum cost approach",E_mincost!F479)))</f>
        <v>6453510.2016620003</v>
      </c>
      <c r="G22" s="29" cm="1">
        <f t="array" aca="1" ref="G22" ca="1">IF('Summary dashboard'!$B$1="Unit cost approach",INDIRECT("'"&amp;$B$2&amp;"'!g87"),IF('Summary dashboard'!$B$1="Budgeted expenditure approach",E_budgeted!G488,IF('Summary dashboard'!$B$1="Minimum cost approach",E_mincost!G479)))</f>
        <v>6453510.2016620003</v>
      </c>
      <c r="H22" s="29" cm="1">
        <f t="array" aca="1" ref="H22" ca="1">IF('Summary dashboard'!$B$1="Unit cost approach",INDIRECT("'"&amp;$B$2&amp;"'!h87"),IF('Summary dashboard'!$B$1="Budgeted expenditure approach",E_budgeted!H488,IF('Summary dashboard'!$B$1="Minimum cost approach",E_mincost!H479)))</f>
        <v>6453510.2016620003</v>
      </c>
      <c r="I22" s="29" cm="1">
        <f t="array" aca="1" ref="I22" ca="1">IF('Summary dashboard'!$B$1="Unit cost approach",INDIRECT("'"&amp;$B$2&amp;"'!i87"),IF('Summary dashboard'!$B$1="Budgeted expenditure approach",E_budgeted!I488,IF('Summary dashboard'!$B$1="Minimum cost approach",E_mincost!I479)))</f>
        <v>6453510.2016620003</v>
      </c>
      <c r="J22" s="29" cm="1">
        <f t="array" aca="1" ref="J22" ca="1">IF('Summary dashboard'!$B$1="Unit cost approach",INDIRECT("'"&amp;$B$2&amp;"'!j87"),IF('Summary dashboard'!$B$1="Budgeted expenditure approach",E_budgeted!J488,IF('Summary dashboard'!$B$1="Minimum cost approach",E_mincost!J479)))</f>
        <v>6453510.2016620003</v>
      </c>
      <c r="K22" s="29" cm="1">
        <f t="array" aca="1" ref="K22" ca="1">IF('Summary dashboard'!$B$1="Unit cost approach",INDIRECT("'"&amp;$B$2&amp;"'!k87"),IF('Summary dashboard'!$B$1="Budgeted expenditure approach",E_budgeted!K488,IF('Summary dashboard'!$B$1="Minimum cost approach",E_mincost!K479)))</f>
        <v>6453510.2016620003</v>
      </c>
      <c r="L22" s="24" t="str">
        <f>IF('Summary dashboard'!$B$1="Unit cost approach",IF(AND(ISNUMBER('CMA function inputs'!B3),INDEX('Data inputs'!$B$29:$G$39,MATCH('CMA dashboard'!A22,'Data inputs'!$A$29:$A$39,0),MATCH('CMA dashboard'!$B$2,'Data inputs'!$B$28:$G$28,0))&gt;0),"","NOTE: Budget figures are used to calculate this value as no unit cost data is available"),"")</f>
        <v/>
      </c>
    </row>
    <row r="23" spans="1:12" x14ac:dyDescent="0.25">
      <c r="A23" s="39" t="s">
        <v>36</v>
      </c>
      <c r="B23" s="29" cm="1">
        <f t="array" aca="1" ref="B23" ca="1">IF('Summary dashboard'!$B$1="Unit cost approach",INDIRECT("'"&amp;$B$2&amp;"'!B88"),IF('Summary dashboard'!$B$1="Budgeted expenditure approach",E_budgeted!B489,IF('Summary dashboard'!$B$1="Minimum cost approach",E_mincost!B480)))</f>
        <v>1839368.8758000005</v>
      </c>
      <c r="C23" s="29" cm="1">
        <f t="array" aca="1" ref="C23" ca="1">IF('Summary dashboard'!$B$1="Unit cost approach",INDIRECT("'"&amp;$B$2&amp;"'!c88"),IF('Summary dashboard'!$B$1="Budgeted expenditure approach",E_budgeted!C489,IF('Summary dashboard'!$B$1="Minimum cost approach",E_mincost!C480)))</f>
        <v>1839368.8758000005</v>
      </c>
      <c r="D23" s="29" cm="1">
        <f t="array" aca="1" ref="D23" ca="1">IF('Summary dashboard'!$B$1="Unit cost approach",INDIRECT("'"&amp;$B$2&amp;"'!d88"),IF('Summary dashboard'!$B$1="Budgeted expenditure approach",E_budgeted!D489,IF('Summary dashboard'!$B$1="Minimum cost approach",E_mincost!D480)))</f>
        <v>1839368.8758000005</v>
      </c>
      <c r="E23" s="29" cm="1">
        <f t="array" aca="1" ref="E23" ca="1">IF('Summary dashboard'!$B$1="Unit cost approach",INDIRECT("'"&amp;$B$2&amp;"'!e88"),IF('Summary dashboard'!$B$1="Budgeted expenditure approach",E_budgeted!E489,IF('Summary dashboard'!$B$1="Minimum cost approach",E_mincost!E480)))</f>
        <v>1839368.8758000005</v>
      </c>
      <c r="F23" s="29" cm="1">
        <f t="array" aca="1" ref="F23" ca="1">IF('Summary dashboard'!$B$1="Unit cost approach",INDIRECT("'"&amp;$B$2&amp;"'!f88"),IF('Summary dashboard'!$B$1="Budgeted expenditure approach",E_budgeted!F489,IF('Summary dashboard'!$B$1="Minimum cost approach",E_mincost!F480)))</f>
        <v>1839368.8758000005</v>
      </c>
      <c r="G23" s="29" cm="1">
        <f t="array" aca="1" ref="G23" ca="1">IF('Summary dashboard'!$B$1="Unit cost approach",INDIRECT("'"&amp;$B$2&amp;"'!g88"),IF('Summary dashboard'!$B$1="Budgeted expenditure approach",E_budgeted!G489,IF('Summary dashboard'!$B$1="Minimum cost approach",E_mincost!G480)))</f>
        <v>1839368.8758000005</v>
      </c>
      <c r="H23" s="29" cm="1">
        <f t="array" aca="1" ref="H23" ca="1">IF('Summary dashboard'!$B$1="Unit cost approach",INDIRECT("'"&amp;$B$2&amp;"'!h88"),IF('Summary dashboard'!$B$1="Budgeted expenditure approach",E_budgeted!H489,IF('Summary dashboard'!$B$1="Minimum cost approach",E_mincost!H480)))</f>
        <v>1839368.8758000005</v>
      </c>
      <c r="I23" s="29" cm="1">
        <f t="array" aca="1" ref="I23" ca="1">IF('Summary dashboard'!$B$1="Unit cost approach",INDIRECT("'"&amp;$B$2&amp;"'!i88"),IF('Summary dashboard'!$B$1="Budgeted expenditure approach",E_budgeted!I489,IF('Summary dashboard'!$B$1="Minimum cost approach",E_mincost!I480)))</f>
        <v>1839368.8758000005</v>
      </c>
      <c r="J23" s="29" cm="1">
        <f t="array" aca="1" ref="J23" ca="1">IF('Summary dashboard'!$B$1="Unit cost approach",INDIRECT("'"&amp;$B$2&amp;"'!j88"),IF('Summary dashboard'!$B$1="Budgeted expenditure approach",E_budgeted!J489,IF('Summary dashboard'!$B$1="Minimum cost approach",E_mincost!J480)))</f>
        <v>1839368.8758000005</v>
      </c>
      <c r="K23" s="29" cm="1">
        <f t="array" aca="1" ref="K23" ca="1">IF('Summary dashboard'!$B$1="Unit cost approach",INDIRECT("'"&amp;$B$2&amp;"'!k88"),IF('Summary dashboard'!$B$1="Budgeted expenditure approach",E_budgeted!K489,IF('Summary dashboard'!$B$1="Minimum cost approach",E_mincost!K480)))</f>
        <v>1839368.8758000005</v>
      </c>
      <c r="L23" s="24" t="str">
        <f>IF('Summary dashboard'!$B$1="Unit cost approach",IF(AND(ISNUMBER('CMA function inputs'!B4),INDEX('Data inputs'!$B$29:$G$39,MATCH('CMA dashboard'!A23,'Data inputs'!$A$29:$A$39,0),MATCH('CMA dashboard'!$B$2,'Data inputs'!$B$28:$G$28,0))&gt;0),"","NOTE: Budget figures are used to calculate this value as no unit cost data is available"),"")</f>
        <v/>
      </c>
    </row>
    <row r="24" spans="1:12" x14ac:dyDescent="0.25">
      <c r="A24" s="39" t="s">
        <v>11</v>
      </c>
      <c r="B24" s="29" cm="1">
        <f t="array" aca="1" ref="B24" ca="1">IF('Summary dashboard'!$B$1="Unit cost approach",INDIRECT("'"&amp;$B$2&amp;"'!B89"),IF('Summary dashboard'!$B$1="Budgeted expenditure approach",E_budgeted!B490,IF('Summary dashboard'!$B$1="Minimum cost approach",E_mincost!B481)))</f>
        <v>0</v>
      </c>
      <c r="C24" s="29" cm="1">
        <f t="array" aca="1" ref="C24" ca="1">IF('Summary dashboard'!$B$1="Unit cost approach",INDIRECT("'"&amp;$B$2&amp;"'!c89"),IF('Summary dashboard'!$B$1="Budgeted expenditure approach",E_budgeted!C490,IF('Summary dashboard'!$B$1="Minimum cost approach",E_mincost!C481)))</f>
        <v>0</v>
      </c>
      <c r="D24" s="29" cm="1">
        <f t="array" aca="1" ref="D24" ca="1">IF('Summary dashboard'!$B$1="Unit cost approach",INDIRECT("'"&amp;$B$2&amp;"'!d89"),IF('Summary dashboard'!$B$1="Budgeted expenditure approach",E_budgeted!D490,IF('Summary dashboard'!$B$1="Minimum cost approach",E_mincost!D481)))</f>
        <v>0</v>
      </c>
      <c r="E24" s="29" cm="1">
        <f t="array" aca="1" ref="E24" ca="1">IF('Summary dashboard'!$B$1="Unit cost approach",INDIRECT("'"&amp;$B$2&amp;"'!e89"),IF('Summary dashboard'!$B$1="Budgeted expenditure approach",E_budgeted!E490,IF('Summary dashboard'!$B$1="Minimum cost approach",E_mincost!E481)))</f>
        <v>0</v>
      </c>
      <c r="F24" s="29" cm="1">
        <f t="array" aca="1" ref="F24" ca="1">IF('Summary dashboard'!$B$1="Unit cost approach",INDIRECT("'"&amp;$B$2&amp;"'!f89"),IF('Summary dashboard'!$B$1="Budgeted expenditure approach",E_budgeted!F490,IF('Summary dashboard'!$B$1="Minimum cost approach",E_mincost!F481)))</f>
        <v>0</v>
      </c>
      <c r="G24" s="29" cm="1">
        <f t="array" aca="1" ref="G24" ca="1">IF('Summary dashboard'!$B$1="Unit cost approach",INDIRECT("'"&amp;$B$2&amp;"'!g89"),IF('Summary dashboard'!$B$1="Budgeted expenditure approach",E_budgeted!G490,IF('Summary dashboard'!$B$1="Minimum cost approach",E_mincost!G481)))</f>
        <v>0</v>
      </c>
      <c r="H24" s="29" cm="1">
        <f t="array" aca="1" ref="H24" ca="1">IF('Summary dashboard'!$B$1="Unit cost approach",INDIRECT("'"&amp;$B$2&amp;"'!h89"),IF('Summary dashboard'!$B$1="Budgeted expenditure approach",E_budgeted!H490,IF('Summary dashboard'!$B$1="Minimum cost approach",E_mincost!H481)))</f>
        <v>0</v>
      </c>
      <c r="I24" s="29" cm="1">
        <f t="array" aca="1" ref="I24" ca="1">IF('Summary dashboard'!$B$1="Unit cost approach",INDIRECT("'"&amp;$B$2&amp;"'!i89"),IF('Summary dashboard'!$B$1="Budgeted expenditure approach",E_budgeted!I490,IF('Summary dashboard'!$B$1="Minimum cost approach",E_mincost!I481)))</f>
        <v>0</v>
      </c>
      <c r="J24" s="29" cm="1">
        <f t="array" aca="1" ref="J24" ca="1">IF('Summary dashboard'!$B$1="Unit cost approach",INDIRECT("'"&amp;$B$2&amp;"'!j89"),IF('Summary dashboard'!$B$1="Budgeted expenditure approach",E_budgeted!J490,IF('Summary dashboard'!$B$1="Minimum cost approach",E_mincost!J481)))</f>
        <v>0</v>
      </c>
      <c r="K24" s="29" cm="1">
        <f t="array" aca="1" ref="K24" ca="1">IF('Summary dashboard'!$B$1="Unit cost approach",INDIRECT("'"&amp;$B$2&amp;"'!k89"),IF('Summary dashboard'!$B$1="Budgeted expenditure approach",E_budgeted!K490,IF('Summary dashboard'!$B$1="Minimum cost approach",E_mincost!K481)))</f>
        <v>0</v>
      </c>
      <c r="L24" s="24" t="str">
        <f>IF('Summary dashboard'!$B$1="Unit cost approach",IF(AND(ISNUMBER('CMA function inputs'!B5),INDEX('Data inputs'!$B$29:$G$39,MATCH('CMA dashboard'!A24,'Data inputs'!$A$29:$A$39,0),MATCH('CMA dashboard'!$B$2,'Data inputs'!$B$28:$G$28,0))&gt;0),"","NOTE: Budget figures are used to calculate this value as no unit cost data is available"),"")</f>
        <v/>
      </c>
    </row>
    <row r="25" spans="1:12" x14ac:dyDescent="0.25">
      <c r="A25" s="39" t="s">
        <v>124</v>
      </c>
      <c r="B25" s="29" cm="1">
        <f t="array" aca="1" ref="B25" ca="1">IF('Summary dashboard'!$B$1="Unit cost approach",INDIRECT("'"&amp;$B$2&amp;"'!B90"),IF('Summary dashboard'!$B$1="Budgeted expenditure approach",E_budgeted!B491,IF('Summary dashboard'!$B$1="Minimum cost approach",E_mincost!B482)))</f>
        <v>4327042.5835000006</v>
      </c>
      <c r="C25" s="29" cm="1">
        <f t="array" aca="1" ref="C25" ca="1">IF('Summary dashboard'!$B$1="Unit cost approach",INDIRECT("'"&amp;$B$2&amp;"'!c90"),IF('Summary dashboard'!$B$1="Budgeted expenditure approach",E_budgeted!C491,IF('Summary dashboard'!$B$1="Minimum cost approach",E_mincost!C482)))</f>
        <v>4327042.5835000006</v>
      </c>
      <c r="D25" s="29" cm="1">
        <f t="array" aca="1" ref="D25" ca="1">IF('Summary dashboard'!$B$1="Unit cost approach",INDIRECT("'"&amp;$B$2&amp;"'!d90"),IF('Summary dashboard'!$B$1="Budgeted expenditure approach",E_budgeted!D491,IF('Summary dashboard'!$B$1="Minimum cost approach",E_mincost!D482)))</f>
        <v>4327042.5835000006</v>
      </c>
      <c r="E25" s="29" cm="1">
        <f t="array" aca="1" ref="E25" ca="1">IF('Summary dashboard'!$B$1="Unit cost approach",INDIRECT("'"&amp;$B$2&amp;"'!e90"),IF('Summary dashboard'!$B$1="Budgeted expenditure approach",E_budgeted!E491,IF('Summary dashboard'!$B$1="Minimum cost approach",E_mincost!E482)))</f>
        <v>4327042.5835000006</v>
      </c>
      <c r="F25" s="29" cm="1">
        <f t="array" aca="1" ref="F25" ca="1">IF('Summary dashboard'!$B$1="Unit cost approach",INDIRECT("'"&amp;$B$2&amp;"'!f90"),IF('Summary dashboard'!$B$1="Budgeted expenditure approach",E_budgeted!F491,IF('Summary dashboard'!$B$1="Minimum cost approach",E_mincost!F482)))</f>
        <v>4327042.5835000006</v>
      </c>
      <c r="G25" s="29" cm="1">
        <f t="array" aca="1" ref="G25" ca="1">IF('Summary dashboard'!$B$1="Unit cost approach",INDIRECT("'"&amp;$B$2&amp;"'!g90"),IF('Summary dashboard'!$B$1="Budgeted expenditure approach",E_budgeted!G491,IF('Summary dashboard'!$B$1="Minimum cost approach",E_mincost!G482)))</f>
        <v>4327042.5835000006</v>
      </c>
      <c r="H25" s="29" cm="1">
        <f t="array" aca="1" ref="H25" ca="1">IF('Summary dashboard'!$B$1="Unit cost approach",INDIRECT("'"&amp;$B$2&amp;"'!h90"),IF('Summary dashboard'!$B$1="Budgeted expenditure approach",E_budgeted!H491,IF('Summary dashboard'!$B$1="Minimum cost approach",E_mincost!H482)))</f>
        <v>4327042.5835000006</v>
      </c>
      <c r="I25" s="29" cm="1">
        <f t="array" aca="1" ref="I25" ca="1">IF('Summary dashboard'!$B$1="Unit cost approach",INDIRECT("'"&amp;$B$2&amp;"'!i90"),IF('Summary dashboard'!$B$1="Budgeted expenditure approach",E_budgeted!I491,IF('Summary dashboard'!$B$1="Minimum cost approach",E_mincost!I482)))</f>
        <v>4327042.5835000006</v>
      </c>
      <c r="J25" s="29" cm="1">
        <f t="array" aca="1" ref="J25" ca="1">IF('Summary dashboard'!$B$1="Unit cost approach",INDIRECT("'"&amp;$B$2&amp;"'!j90"),IF('Summary dashboard'!$B$1="Budgeted expenditure approach",E_budgeted!J491,IF('Summary dashboard'!$B$1="Minimum cost approach",E_mincost!J482)))</f>
        <v>4327042.5835000006</v>
      </c>
      <c r="K25" s="29" cm="1">
        <f t="array" aca="1" ref="K25" ca="1">IF('Summary dashboard'!$B$1="Unit cost approach",INDIRECT("'"&amp;$B$2&amp;"'!k90"),IF('Summary dashboard'!$B$1="Budgeted expenditure approach",E_budgeted!K491,IF('Summary dashboard'!$B$1="Minimum cost approach",E_mincost!K482)))</f>
        <v>4327042.5835000006</v>
      </c>
      <c r="L25" s="24" t="str">
        <f>IF('Summary dashboard'!$B$1="Unit cost approach",IF(AND(ISNUMBER('CMA function inputs'!B6),INDEX('Data inputs'!$B$29:$G$39,MATCH('CMA dashboard'!A25,'Data inputs'!$A$29:$A$39,0),MATCH('CMA dashboard'!$B$2,'Data inputs'!$B$28:$G$28,0))&gt;0),"","NOTE: Budget figures are used to calculate this value as no unit cost data is available"),"")</f>
        <v/>
      </c>
    </row>
    <row r="26" spans="1:12" x14ac:dyDescent="0.25">
      <c r="A26" s="39" t="s">
        <v>12</v>
      </c>
      <c r="B26" s="29" cm="1">
        <f t="array" aca="1" ref="B26" ca="1">IF('Summary dashboard'!$B$1="Unit cost approach",INDIRECT("'"&amp;$B$2&amp;"'!B91"),IF('Summary dashboard'!$B$1="Budgeted expenditure approach",E_budgeted!B492,IF('Summary dashboard'!$B$1="Minimum cost approach",E_mincost!B483)))</f>
        <v>2316993.829423334</v>
      </c>
      <c r="C26" s="29" cm="1">
        <f t="array" aca="1" ref="C26" ca="1">IF('Summary dashboard'!$B$1="Unit cost approach",INDIRECT("'"&amp;$B$2&amp;"'!c91"),IF('Summary dashboard'!$B$1="Budgeted expenditure approach",E_budgeted!C492,IF('Summary dashboard'!$B$1="Minimum cost approach",E_mincost!C483)))</f>
        <v>2316993.829423334</v>
      </c>
      <c r="D26" s="29" cm="1">
        <f t="array" aca="1" ref="D26" ca="1">IF('Summary dashboard'!$B$1="Unit cost approach",INDIRECT("'"&amp;$B$2&amp;"'!d91"),IF('Summary dashboard'!$B$1="Budgeted expenditure approach",E_budgeted!D492,IF('Summary dashboard'!$B$1="Minimum cost approach",E_mincost!D483)))</f>
        <v>2316993.829423334</v>
      </c>
      <c r="E26" s="29" cm="1">
        <f t="array" aca="1" ref="E26" ca="1">IF('Summary dashboard'!$B$1="Unit cost approach",INDIRECT("'"&amp;$B$2&amp;"'!e91"),IF('Summary dashboard'!$B$1="Budgeted expenditure approach",E_budgeted!E492,IF('Summary dashboard'!$B$1="Minimum cost approach",E_mincost!E483)))</f>
        <v>2316993.829423334</v>
      </c>
      <c r="F26" s="29" cm="1">
        <f t="array" aca="1" ref="F26" ca="1">IF('Summary dashboard'!$B$1="Unit cost approach",INDIRECT("'"&amp;$B$2&amp;"'!f91"),IF('Summary dashboard'!$B$1="Budgeted expenditure approach",E_budgeted!F492,IF('Summary dashboard'!$B$1="Minimum cost approach",E_mincost!F483)))</f>
        <v>2316993.829423334</v>
      </c>
      <c r="G26" s="29" cm="1">
        <f t="array" aca="1" ref="G26" ca="1">IF('Summary dashboard'!$B$1="Unit cost approach",INDIRECT("'"&amp;$B$2&amp;"'!g91"),IF('Summary dashboard'!$B$1="Budgeted expenditure approach",E_budgeted!G492,IF('Summary dashboard'!$B$1="Minimum cost approach",E_mincost!G483)))</f>
        <v>2316993.829423334</v>
      </c>
      <c r="H26" s="29" cm="1">
        <f t="array" aca="1" ref="H26" ca="1">IF('Summary dashboard'!$B$1="Unit cost approach",INDIRECT("'"&amp;$B$2&amp;"'!h91"),IF('Summary dashboard'!$B$1="Budgeted expenditure approach",E_budgeted!H492,IF('Summary dashboard'!$B$1="Minimum cost approach",E_mincost!H483)))</f>
        <v>2316993.829423334</v>
      </c>
      <c r="I26" s="29" cm="1">
        <f t="array" aca="1" ref="I26" ca="1">IF('Summary dashboard'!$B$1="Unit cost approach",INDIRECT("'"&amp;$B$2&amp;"'!i91"),IF('Summary dashboard'!$B$1="Budgeted expenditure approach",E_budgeted!I492,IF('Summary dashboard'!$B$1="Minimum cost approach",E_mincost!I483)))</f>
        <v>2316993.829423334</v>
      </c>
      <c r="J26" s="29" cm="1">
        <f t="array" aca="1" ref="J26" ca="1">IF('Summary dashboard'!$B$1="Unit cost approach",INDIRECT("'"&amp;$B$2&amp;"'!j91"),IF('Summary dashboard'!$B$1="Budgeted expenditure approach",E_budgeted!J492,IF('Summary dashboard'!$B$1="Minimum cost approach",E_mincost!J483)))</f>
        <v>2316993.829423334</v>
      </c>
      <c r="K26" s="29" cm="1">
        <f t="array" aca="1" ref="K26" ca="1">IF('Summary dashboard'!$B$1="Unit cost approach",INDIRECT("'"&amp;$B$2&amp;"'!k91"),IF('Summary dashboard'!$B$1="Budgeted expenditure approach",E_budgeted!K492,IF('Summary dashboard'!$B$1="Minimum cost approach",E_mincost!K483)))</f>
        <v>2316993.829423334</v>
      </c>
      <c r="L26" s="24" t="str">
        <f>IF('Summary dashboard'!$B$1="Unit cost approach",IF(AND(ISNUMBER('CMA function inputs'!B7),INDEX('Data inputs'!$B$29:$G$39,MATCH('CMA dashboard'!A26,'Data inputs'!$A$29:$A$39,0),MATCH('CMA dashboard'!$B$2,'Data inputs'!$B$28:$G$28,0))&gt;0),"","NOTE: Budget figures are used to calculate this value as no unit cost data is available"),"")</f>
        <v/>
      </c>
    </row>
    <row r="27" spans="1:12" x14ac:dyDescent="0.25">
      <c r="A27" s="39" t="s">
        <v>13</v>
      </c>
      <c r="B27" s="29" cm="1">
        <f t="array" aca="1" ref="B27" ca="1">IF('Summary dashboard'!$B$1="Unit cost approach",INDIRECT("'"&amp;$B$2&amp;"'!B92"),IF('Summary dashboard'!$B$1="Budgeted expenditure approach",E_budgeted!B493,IF('Summary dashboard'!$B$1="Minimum cost approach",E_mincost!B484)))</f>
        <v>0</v>
      </c>
      <c r="C27" s="29" cm="1">
        <f t="array" aca="1" ref="C27" ca="1">IF('Summary dashboard'!$B$1="Unit cost approach",INDIRECT("'"&amp;$B$2&amp;"'!c92"),IF('Summary dashboard'!$B$1="Budgeted expenditure approach",E_budgeted!C493,IF('Summary dashboard'!$B$1="Minimum cost approach",E_mincost!C484)))</f>
        <v>0</v>
      </c>
      <c r="D27" s="29" cm="1">
        <f t="array" aca="1" ref="D27" ca="1">IF('Summary dashboard'!$B$1="Unit cost approach",INDIRECT("'"&amp;$B$2&amp;"'!d92"),IF('Summary dashboard'!$B$1="Budgeted expenditure approach",E_budgeted!D493,IF('Summary dashboard'!$B$1="Minimum cost approach",E_mincost!D484)))</f>
        <v>0</v>
      </c>
      <c r="E27" s="29" cm="1">
        <f t="array" aca="1" ref="E27" ca="1">IF('Summary dashboard'!$B$1="Unit cost approach",INDIRECT("'"&amp;$B$2&amp;"'!e92"),IF('Summary dashboard'!$B$1="Budgeted expenditure approach",E_budgeted!E493,IF('Summary dashboard'!$B$1="Minimum cost approach",E_mincost!E484)))</f>
        <v>0</v>
      </c>
      <c r="F27" s="29" cm="1">
        <f t="array" aca="1" ref="F27" ca="1">IF('Summary dashboard'!$B$1="Unit cost approach",INDIRECT("'"&amp;$B$2&amp;"'!f92"),IF('Summary dashboard'!$B$1="Budgeted expenditure approach",E_budgeted!F493,IF('Summary dashboard'!$B$1="Minimum cost approach",E_mincost!F484)))</f>
        <v>0</v>
      </c>
      <c r="G27" s="29" cm="1">
        <f t="array" aca="1" ref="G27" ca="1">IF('Summary dashboard'!$B$1="Unit cost approach",INDIRECT("'"&amp;$B$2&amp;"'!g92"),IF('Summary dashboard'!$B$1="Budgeted expenditure approach",E_budgeted!G493,IF('Summary dashboard'!$B$1="Minimum cost approach",E_mincost!G484)))</f>
        <v>0</v>
      </c>
      <c r="H27" s="29" cm="1">
        <f t="array" aca="1" ref="H27" ca="1">IF('Summary dashboard'!$B$1="Unit cost approach",INDIRECT("'"&amp;$B$2&amp;"'!h92"),IF('Summary dashboard'!$B$1="Budgeted expenditure approach",E_budgeted!H493,IF('Summary dashboard'!$B$1="Minimum cost approach",E_mincost!H484)))</f>
        <v>0</v>
      </c>
      <c r="I27" s="29" cm="1">
        <f t="array" aca="1" ref="I27" ca="1">IF('Summary dashboard'!$B$1="Unit cost approach",INDIRECT("'"&amp;$B$2&amp;"'!i92"),IF('Summary dashboard'!$B$1="Budgeted expenditure approach",E_budgeted!I493,IF('Summary dashboard'!$B$1="Minimum cost approach",E_mincost!I484)))</f>
        <v>0</v>
      </c>
      <c r="J27" s="29" cm="1">
        <f t="array" aca="1" ref="J27" ca="1">IF('Summary dashboard'!$B$1="Unit cost approach",INDIRECT("'"&amp;$B$2&amp;"'!j92"),IF('Summary dashboard'!$B$1="Budgeted expenditure approach",E_budgeted!J493,IF('Summary dashboard'!$B$1="Minimum cost approach",E_mincost!J484)))</f>
        <v>0</v>
      </c>
      <c r="K27" s="29" cm="1">
        <f t="array" aca="1" ref="K27" ca="1">IF('Summary dashboard'!$B$1="Unit cost approach",INDIRECT("'"&amp;$B$2&amp;"'!k92"),IF('Summary dashboard'!$B$1="Budgeted expenditure approach",E_budgeted!K493,IF('Summary dashboard'!$B$1="Minimum cost approach",E_mincost!K484)))</f>
        <v>0</v>
      </c>
      <c r="L27" s="24" t="str">
        <f>IF('Summary dashboard'!$B$1="Unit cost approach",IF(AND(ISNUMBER('CMA function inputs'!B8),INDEX('Data inputs'!$B$29:$G$39,MATCH('CMA dashboard'!A27,'Data inputs'!$A$29:$A$39,0),MATCH('CMA dashboard'!$B$2,'Data inputs'!$B$28:$G$28,0))&gt;0),"","NOTE: Budget figures are used to calculate this value as no unit cost data is available"),"")</f>
        <v/>
      </c>
    </row>
    <row r="28" spans="1:12" x14ac:dyDescent="0.25">
      <c r="A28" s="39" t="s">
        <v>14</v>
      </c>
      <c r="B28" s="29" cm="1">
        <f t="array" aca="1" ref="B28" ca="1">IF('Summary dashboard'!$B$1="Unit cost approach",INDIRECT("'"&amp;$B$2&amp;"'!B93"),IF('Summary dashboard'!$B$1="Budgeted expenditure approach",E_budgeted!B494,IF('Summary dashboard'!$B$1="Minimum cost approach",E_mincost!B485)))</f>
        <v>0</v>
      </c>
      <c r="C28" s="29" cm="1">
        <f t="array" aca="1" ref="C28" ca="1">IF('Summary dashboard'!$B$1="Unit cost approach",INDIRECT("'"&amp;$B$2&amp;"'!c93"),IF('Summary dashboard'!$B$1="Budgeted expenditure approach",E_budgeted!C494,IF('Summary dashboard'!$B$1="Minimum cost approach",E_mincost!C485)))</f>
        <v>0</v>
      </c>
      <c r="D28" s="29" cm="1">
        <f t="array" aca="1" ref="D28" ca="1">IF('Summary dashboard'!$B$1="Unit cost approach",INDIRECT("'"&amp;$B$2&amp;"'!d93"),IF('Summary dashboard'!$B$1="Budgeted expenditure approach",E_budgeted!D494,IF('Summary dashboard'!$B$1="Minimum cost approach",E_mincost!D485)))</f>
        <v>0</v>
      </c>
      <c r="E28" s="29" cm="1">
        <f t="array" aca="1" ref="E28" ca="1">IF('Summary dashboard'!$B$1="Unit cost approach",INDIRECT("'"&amp;$B$2&amp;"'!e93"),IF('Summary dashboard'!$B$1="Budgeted expenditure approach",E_budgeted!E494,IF('Summary dashboard'!$B$1="Minimum cost approach",E_mincost!E485)))</f>
        <v>0</v>
      </c>
      <c r="F28" s="29" cm="1">
        <f t="array" aca="1" ref="F28" ca="1">IF('Summary dashboard'!$B$1="Unit cost approach",INDIRECT("'"&amp;$B$2&amp;"'!f93"),IF('Summary dashboard'!$B$1="Budgeted expenditure approach",E_budgeted!F494,IF('Summary dashboard'!$B$1="Minimum cost approach",E_mincost!F485)))</f>
        <v>0</v>
      </c>
      <c r="G28" s="29" cm="1">
        <f t="array" aca="1" ref="G28" ca="1">IF('Summary dashboard'!$B$1="Unit cost approach",INDIRECT("'"&amp;$B$2&amp;"'!g93"),IF('Summary dashboard'!$B$1="Budgeted expenditure approach",E_budgeted!G494,IF('Summary dashboard'!$B$1="Minimum cost approach",E_mincost!G485)))</f>
        <v>0</v>
      </c>
      <c r="H28" s="29" cm="1">
        <f t="array" aca="1" ref="H28" ca="1">IF('Summary dashboard'!$B$1="Unit cost approach",INDIRECT("'"&amp;$B$2&amp;"'!h93"),IF('Summary dashboard'!$B$1="Budgeted expenditure approach",E_budgeted!H494,IF('Summary dashboard'!$B$1="Minimum cost approach",E_mincost!H485)))</f>
        <v>0</v>
      </c>
      <c r="I28" s="29" cm="1">
        <f t="array" aca="1" ref="I28" ca="1">IF('Summary dashboard'!$B$1="Unit cost approach",INDIRECT("'"&amp;$B$2&amp;"'!i93"),IF('Summary dashboard'!$B$1="Budgeted expenditure approach",E_budgeted!I494,IF('Summary dashboard'!$B$1="Minimum cost approach",E_mincost!I485)))</f>
        <v>0</v>
      </c>
      <c r="J28" s="29" cm="1">
        <f t="array" aca="1" ref="J28" ca="1">IF('Summary dashboard'!$B$1="Unit cost approach",INDIRECT("'"&amp;$B$2&amp;"'!j93"),IF('Summary dashboard'!$B$1="Budgeted expenditure approach",E_budgeted!J494,IF('Summary dashboard'!$B$1="Minimum cost approach",E_mincost!J485)))</f>
        <v>0</v>
      </c>
      <c r="K28" s="29" cm="1">
        <f t="array" aca="1" ref="K28" ca="1">IF('Summary dashboard'!$B$1="Unit cost approach",INDIRECT("'"&amp;$B$2&amp;"'!k93"),IF('Summary dashboard'!$B$1="Budgeted expenditure approach",E_budgeted!K494,IF('Summary dashboard'!$B$1="Minimum cost approach",E_mincost!K485)))</f>
        <v>0</v>
      </c>
      <c r="L28" s="24" t="str">
        <f>IF('Summary dashboard'!$B$1="Unit cost approach",IF(AND(ISNUMBER('CMA function inputs'!B9),INDEX('Data inputs'!$B$29:$G$39,MATCH('CMA dashboard'!A28,'Data inputs'!$A$29:$A$39,0),MATCH('CMA dashboard'!$B$2,'Data inputs'!$B$28:$G$28,0))&gt;0),"","NOTE: Budget figures are used to calculate this value as no unit cost data is available"),"")</f>
        <v/>
      </c>
    </row>
    <row r="29" spans="1:12" x14ac:dyDescent="0.25">
      <c r="A29" s="39" t="s">
        <v>125</v>
      </c>
      <c r="B29" s="29" cm="1">
        <f t="array" aca="1" ref="B29" ca="1">IF('Summary dashboard'!$B$1="Unit cost approach",INDIRECT("'"&amp;$B$2&amp;"'!B94"),IF('Summary dashboard'!$B$1="Budgeted expenditure approach",E_budgeted!B495,IF('Summary dashboard'!$B$1="Minimum cost approach",E_mincost!B486)))</f>
        <v>0</v>
      </c>
      <c r="C29" s="29" cm="1">
        <f t="array" aca="1" ref="C29" ca="1">IF('Summary dashboard'!$B$1="Unit cost approach",INDIRECT("'"&amp;$B$2&amp;"'!c94"),IF('Summary dashboard'!$B$1="Budgeted expenditure approach",E_budgeted!C495,IF('Summary dashboard'!$B$1="Minimum cost approach",E_mincost!C486)))</f>
        <v>0</v>
      </c>
      <c r="D29" s="29" cm="1">
        <f t="array" aca="1" ref="D29" ca="1">IF('Summary dashboard'!$B$1="Unit cost approach",INDIRECT("'"&amp;$B$2&amp;"'!d94"),IF('Summary dashboard'!$B$1="Budgeted expenditure approach",E_budgeted!D495,IF('Summary dashboard'!$B$1="Minimum cost approach",E_mincost!D486)))</f>
        <v>0</v>
      </c>
      <c r="E29" s="29" cm="1">
        <f t="array" aca="1" ref="E29" ca="1">IF('Summary dashboard'!$B$1="Unit cost approach",INDIRECT("'"&amp;$B$2&amp;"'!e94"),IF('Summary dashboard'!$B$1="Budgeted expenditure approach",E_budgeted!E495,IF('Summary dashboard'!$B$1="Minimum cost approach",E_mincost!E486)))</f>
        <v>0</v>
      </c>
      <c r="F29" s="29" cm="1">
        <f t="array" aca="1" ref="F29" ca="1">IF('Summary dashboard'!$B$1="Unit cost approach",INDIRECT("'"&amp;$B$2&amp;"'!f94"),IF('Summary dashboard'!$B$1="Budgeted expenditure approach",E_budgeted!F495,IF('Summary dashboard'!$B$1="Minimum cost approach",E_mincost!F486)))</f>
        <v>0</v>
      </c>
      <c r="G29" s="29" cm="1">
        <f t="array" aca="1" ref="G29" ca="1">IF('Summary dashboard'!$B$1="Unit cost approach",INDIRECT("'"&amp;$B$2&amp;"'!g94"),IF('Summary dashboard'!$B$1="Budgeted expenditure approach",E_budgeted!G495,IF('Summary dashboard'!$B$1="Minimum cost approach",E_mincost!G486)))</f>
        <v>0</v>
      </c>
      <c r="H29" s="29" cm="1">
        <f t="array" aca="1" ref="H29" ca="1">IF('Summary dashboard'!$B$1="Unit cost approach",INDIRECT("'"&amp;$B$2&amp;"'!h94"),IF('Summary dashboard'!$B$1="Budgeted expenditure approach",E_budgeted!H495,IF('Summary dashboard'!$B$1="Minimum cost approach",E_mincost!H486)))</f>
        <v>0</v>
      </c>
      <c r="I29" s="29" cm="1">
        <f t="array" aca="1" ref="I29" ca="1">IF('Summary dashboard'!$B$1="Unit cost approach",INDIRECT("'"&amp;$B$2&amp;"'!i94"),IF('Summary dashboard'!$B$1="Budgeted expenditure approach",E_budgeted!I495,IF('Summary dashboard'!$B$1="Minimum cost approach",E_mincost!I486)))</f>
        <v>0</v>
      </c>
      <c r="J29" s="29" cm="1">
        <f t="array" aca="1" ref="J29" ca="1">IF('Summary dashboard'!$B$1="Unit cost approach",INDIRECT("'"&amp;$B$2&amp;"'!j94"),IF('Summary dashboard'!$B$1="Budgeted expenditure approach",E_budgeted!J495,IF('Summary dashboard'!$B$1="Minimum cost approach",E_mincost!J486)))</f>
        <v>0</v>
      </c>
      <c r="K29" s="29" cm="1">
        <f t="array" aca="1" ref="K29" ca="1">IF('Summary dashboard'!$B$1="Unit cost approach",INDIRECT("'"&amp;$B$2&amp;"'!k94"),IF('Summary dashboard'!$B$1="Budgeted expenditure approach",E_budgeted!K495,IF('Summary dashboard'!$B$1="Minimum cost approach",E_mincost!K486)))</f>
        <v>0</v>
      </c>
      <c r="L29" s="24" t="str">
        <f>IF('Summary dashboard'!$B$1="Unit cost approach",IF(AND(ISNUMBER('CMA function inputs'!B10),INDEX('Data inputs'!$B$29:$G$39,MATCH('CMA dashboard'!A29,'Data inputs'!$A$29:$A$39,0),MATCH('CMA dashboard'!$B$2,'Data inputs'!$B$28:$G$28,0))&gt;0),"","NOTE: Budget figures are used to calculate this value as no unit cost data is available"),"")</f>
        <v/>
      </c>
    </row>
    <row r="30" spans="1:12" x14ac:dyDescent="0.25">
      <c r="A30" s="39" t="s">
        <v>37</v>
      </c>
      <c r="B30" s="29" cm="1">
        <f t="array" aca="1" ref="B30" ca="1">IF('Summary dashboard'!$B$1="Unit cost approach",INDIRECT("'"&amp;$B$2&amp;"'!B95"),IF('Summary dashboard'!$B$1="Budgeted expenditure approach",E_budgeted!B496,IF('Summary dashboard'!$B$1="Minimum cost approach",E_mincost!B487)))</f>
        <v>20015932.392431997</v>
      </c>
      <c r="C30" s="29" cm="1">
        <f t="array" aca="1" ref="C30" ca="1">IF('Summary dashboard'!$B$1="Unit cost approach",INDIRECT("'"&amp;$B$2&amp;"'!c95"),IF('Summary dashboard'!$B$1="Budgeted expenditure approach",E_budgeted!C496,IF('Summary dashboard'!$B$1="Minimum cost approach",E_mincost!C487)))</f>
        <v>20015932.392431997</v>
      </c>
      <c r="D30" s="29" cm="1">
        <f t="array" aca="1" ref="D30" ca="1">IF('Summary dashboard'!$B$1="Unit cost approach",INDIRECT("'"&amp;$B$2&amp;"'!d95"),IF('Summary dashboard'!$B$1="Budgeted expenditure approach",E_budgeted!D496,IF('Summary dashboard'!$B$1="Minimum cost approach",E_mincost!D487)))</f>
        <v>20015932.392431997</v>
      </c>
      <c r="E30" s="29" cm="1">
        <f t="array" aca="1" ref="E30" ca="1">IF('Summary dashboard'!$B$1="Unit cost approach",INDIRECT("'"&amp;$B$2&amp;"'!e95"),IF('Summary dashboard'!$B$1="Budgeted expenditure approach",E_budgeted!E496,IF('Summary dashboard'!$B$1="Minimum cost approach",E_mincost!E487)))</f>
        <v>20015932.392431997</v>
      </c>
      <c r="F30" s="29" cm="1">
        <f t="array" aca="1" ref="F30" ca="1">IF('Summary dashboard'!$B$1="Unit cost approach",INDIRECT("'"&amp;$B$2&amp;"'!f95"),IF('Summary dashboard'!$B$1="Budgeted expenditure approach",E_budgeted!F496,IF('Summary dashboard'!$B$1="Minimum cost approach",E_mincost!F487)))</f>
        <v>20015932.392431997</v>
      </c>
      <c r="G30" s="29" cm="1">
        <f t="array" aca="1" ref="G30" ca="1">IF('Summary dashboard'!$B$1="Unit cost approach",INDIRECT("'"&amp;$B$2&amp;"'!g95"),IF('Summary dashboard'!$B$1="Budgeted expenditure approach",E_budgeted!G496,IF('Summary dashboard'!$B$1="Minimum cost approach",E_mincost!G487)))</f>
        <v>20015932.392431997</v>
      </c>
      <c r="H30" s="29" cm="1">
        <f t="array" aca="1" ref="H30" ca="1">IF('Summary dashboard'!$B$1="Unit cost approach",INDIRECT("'"&amp;$B$2&amp;"'!h95"),IF('Summary dashboard'!$B$1="Budgeted expenditure approach",E_budgeted!H496,IF('Summary dashboard'!$B$1="Minimum cost approach",E_mincost!H487)))</f>
        <v>20015932.392431997</v>
      </c>
      <c r="I30" s="29" cm="1">
        <f t="array" aca="1" ref="I30" ca="1">IF('Summary dashboard'!$B$1="Unit cost approach",INDIRECT("'"&amp;$B$2&amp;"'!i95"),IF('Summary dashboard'!$B$1="Budgeted expenditure approach",E_budgeted!I496,IF('Summary dashboard'!$B$1="Minimum cost approach",E_mincost!I487)))</f>
        <v>20015932.392431997</v>
      </c>
      <c r="J30" s="29" cm="1">
        <f t="array" aca="1" ref="J30" ca="1">IF('Summary dashboard'!$B$1="Unit cost approach",INDIRECT("'"&amp;$B$2&amp;"'!j95"),IF('Summary dashboard'!$B$1="Budgeted expenditure approach",E_budgeted!J496,IF('Summary dashboard'!$B$1="Minimum cost approach",E_mincost!J487)))</f>
        <v>20015932.392431997</v>
      </c>
      <c r="K30" s="29" cm="1">
        <f t="array" aca="1" ref="K30" ca="1">IF('Summary dashboard'!$B$1="Unit cost approach",INDIRECT("'"&amp;$B$2&amp;"'!k95"),IF('Summary dashboard'!$B$1="Budgeted expenditure approach",E_budgeted!K496,IF('Summary dashboard'!$B$1="Minimum cost approach",E_mincost!K487)))</f>
        <v>20015932.392431997</v>
      </c>
      <c r="L30" s="24" t="str">
        <f>IF('Summary dashboard'!$B$1="Unit cost approach",IF(AND(ISNUMBER('CMA function inputs'!B11),INDEX('Data inputs'!$B$29:$G$39,MATCH('CMA dashboard'!A30,'Data inputs'!$A$29:$A$39,0),MATCH('CMA dashboard'!$B$2,'Data inputs'!$B$28:$G$28,0))&gt;0),"","NOTE: Budget figures are used to calculate this value as no unit cost data is available"),"")</f>
        <v/>
      </c>
    </row>
    <row r="31" spans="1:12" x14ac:dyDescent="0.25">
      <c r="A31" s="39" t="s">
        <v>38</v>
      </c>
      <c r="B31" s="29" cm="1">
        <f t="array" aca="1" ref="B31" ca="1">IF('Summary dashboard'!$B$1="Unit cost approach",INDIRECT("'"&amp;$B$2&amp;"'!B96"),IF('Summary dashboard'!$B$1="Budgeted expenditure approach",E_budgeted!B497,IF('Summary dashboard'!$B$1="Minimum cost approach",E_mincost!B488)))</f>
        <v>744239.4670000003</v>
      </c>
      <c r="C31" s="29" cm="1">
        <f t="array" aca="1" ref="C31" ca="1">IF('Summary dashboard'!$B$1="Unit cost approach",INDIRECT("'"&amp;$B$2&amp;"'!c96"),IF('Summary dashboard'!$B$1="Budgeted expenditure approach",E_budgeted!C497,IF('Summary dashboard'!$B$1="Minimum cost approach",E_mincost!C488)))</f>
        <v>744239.4670000003</v>
      </c>
      <c r="D31" s="29" cm="1">
        <f t="array" aca="1" ref="D31" ca="1">IF('Summary dashboard'!$B$1="Unit cost approach",INDIRECT("'"&amp;$B$2&amp;"'!d96"),IF('Summary dashboard'!$B$1="Budgeted expenditure approach",E_budgeted!D497,IF('Summary dashboard'!$B$1="Minimum cost approach",E_mincost!D488)))</f>
        <v>744239.4670000003</v>
      </c>
      <c r="E31" s="29" cm="1">
        <f t="array" aca="1" ref="E31" ca="1">IF('Summary dashboard'!$B$1="Unit cost approach",INDIRECT("'"&amp;$B$2&amp;"'!e96"),IF('Summary dashboard'!$B$1="Budgeted expenditure approach",E_budgeted!E497,IF('Summary dashboard'!$B$1="Minimum cost approach",E_mincost!E488)))</f>
        <v>744239.4670000003</v>
      </c>
      <c r="F31" s="29" cm="1">
        <f t="array" aca="1" ref="F31" ca="1">IF('Summary dashboard'!$B$1="Unit cost approach",INDIRECT("'"&amp;$B$2&amp;"'!f96"),IF('Summary dashboard'!$B$1="Budgeted expenditure approach",E_budgeted!F497,IF('Summary dashboard'!$B$1="Minimum cost approach",E_mincost!F488)))</f>
        <v>744239.4670000003</v>
      </c>
      <c r="G31" s="29" cm="1">
        <f t="array" aca="1" ref="G31" ca="1">IF('Summary dashboard'!$B$1="Unit cost approach",INDIRECT("'"&amp;$B$2&amp;"'!g96"),IF('Summary dashboard'!$B$1="Budgeted expenditure approach",E_budgeted!G497,IF('Summary dashboard'!$B$1="Minimum cost approach",E_mincost!G488)))</f>
        <v>744239.4670000003</v>
      </c>
      <c r="H31" s="29" cm="1">
        <f t="array" aca="1" ref="H31" ca="1">IF('Summary dashboard'!$B$1="Unit cost approach",INDIRECT("'"&amp;$B$2&amp;"'!h96"),IF('Summary dashboard'!$B$1="Budgeted expenditure approach",E_budgeted!H497,IF('Summary dashboard'!$B$1="Minimum cost approach",E_mincost!H488)))</f>
        <v>744239.4670000003</v>
      </c>
      <c r="I31" s="29" cm="1">
        <f t="array" aca="1" ref="I31" ca="1">IF('Summary dashboard'!$B$1="Unit cost approach",INDIRECT("'"&amp;$B$2&amp;"'!i96"),IF('Summary dashboard'!$B$1="Budgeted expenditure approach",E_budgeted!I497,IF('Summary dashboard'!$B$1="Minimum cost approach",E_mincost!I488)))</f>
        <v>744239.4670000003</v>
      </c>
      <c r="J31" s="29" cm="1">
        <f t="array" aca="1" ref="J31" ca="1">IF('Summary dashboard'!$B$1="Unit cost approach",INDIRECT("'"&amp;$B$2&amp;"'!j96"),IF('Summary dashboard'!$B$1="Budgeted expenditure approach",E_budgeted!J497,IF('Summary dashboard'!$B$1="Minimum cost approach",E_mincost!J488)))</f>
        <v>744239.4670000003</v>
      </c>
      <c r="K31" s="29" cm="1">
        <f t="array" aca="1" ref="K31" ca="1">IF('Summary dashboard'!$B$1="Unit cost approach",INDIRECT("'"&amp;$B$2&amp;"'!k96"),IF('Summary dashboard'!$B$1="Budgeted expenditure approach",E_budgeted!K497,IF('Summary dashboard'!$B$1="Minimum cost approach",E_mincost!K488)))</f>
        <v>744239.4670000003</v>
      </c>
      <c r="L31" s="24" t="str">
        <f>IF('Summary dashboard'!$B$1="Unit cost approach",IF(AND(ISNUMBER('CMA function inputs'!B12),INDEX('Data inputs'!$B$29:$G$39,MATCH('CMA dashboard'!A31,'Data inputs'!$A$29:$A$39,0),MATCH('CMA dashboard'!$B$2,'Data inputs'!$B$28:$G$28,0))&gt;0),"","NOTE: Budget figures are used to calculate this value as no unit cost data is available"),"")</f>
        <v/>
      </c>
    </row>
    <row r="32" spans="1:12" x14ac:dyDescent="0.25">
      <c r="A32" s="39" t="s">
        <v>15</v>
      </c>
      <c r="B32" s="29" cm="1">
        <f t="array" aca="1" ref="B32" ca="1">IF('Summary dashboard'!$B$1="Unit cost approach",INDIRECT("'"&amp;$B$2&amp;"'!B97"),IF('Summary dashboard'!$B$1="Budgeted expenditure approach",E_budgeted!B498,IF('Summary dashboard'!$B$1="Minimum cost approach",E_mincost!B489)))</f>
        <v>16490864.411249999</v>
      </c>
      <c r="C32" s="29" cm="1">
        <f t="array" aca="1" ref="C32" ca="1">IF('Summary dashboard'!$B$1="Unit cost approach",INDIRECT("'"&amp;$B$2&amp;"'!c97"),IF('Summary dashboard'!$B$1="Budgeted expenditure approach",E_budgeted!C498,IF('Summary dashboard'!$B$1="Minimum cost approach",E_mincost!C489)))</f>
        <v>16490864.411249999</v>
      </c>
      <c r="D32" s="29" cm="1">
        <f t="array" aca="1" ref="D32" ca="1">IF('Summary dashboard'!$B$1="Unit cost approach",INDIRECT("'"&amp;$B$2&amp;"'!d97"),IF('Summary dashboard'!$B$1="Budgeted expenditure approach",E_budgeted!D498,IF('Summary dashboard'!$B$1="Minimum cost approach",E_mincost!D489)))</f>
        <v>16490864.411249999</v>
      </c>
      <c r="E32" s="29" cm="1">
        <f t="array" aca="1" ref="E32" ca="1">IF('Summary dashboard'!$B$1="Unit cost approach",INDIRECT("'"&amp;$B$2&amp;"'!e97"),IF('Summary dashboard'!$B$1="Budgeted expenditure approach",E_budgeted!E498,IF('Summary dashboard'!$B$1="Minimum cost approach",E_mincost!E489)))</f>
        <v>16490864.411249999</v>
      </c>
      <c r="F32" s="29" cm="1">
        <f t="array" aca="1" ref="F32" ca="1">IF('Summary dashboard'!$B$1="Unit cost approach",INDIRECT("'"&amp;$B$2&amp;"'!f97"),IF('Summary dashboard'!$B$1="Budgeted expenditure approach",E_budgeted!F498,IF('Summary dashboard'!$B$1="Minimum cost approach",E_mincost!F489)))</f>
        <v>16490864.411249999</v>
      </c>
      <c r="G32" s="29" cm="1">
        <f t="array" aca="1" ref="G32" ca="1">IF('Summary dashboard'!$B$1="Unit cost approach",INDIRECT("'"&amp;$B$2&amp;"'!g97"),IF('Summary dashboard'!$B$1="Budgeted expenditure approach",E_budgeted!G498,IF('Summary dashboard'!$B$1="Minimum cost approach",E_mincost!G489)))</f>
        <v>16490864.411249999</v>
      </c>
      <c r="H32" s="29" cm="1">
        <f t="array" aca="1" ref="H32" ca="1">IF('Summary dashboard'!$B$1="Unit cost approach",INDIRECT("'"&amp;$B$2&amp;"'!h97"),IF('Summary dashboard'!$B$1="Budgeted expenditure approach",E_budgeted!H498,IF('Summary dashboard'!$B$1="Minimum cost approach",E_mincost!H489)))</f>
        <v>16490864.411249999</v>
      </c>
      <c r="I32" s="29" cm="1">
        <f t="array" aca="1" ref="I32" ca="1">IF('Summary dashboard'!$B$1="Unit cost approach",INDIRECT("'"&amp;$B$2&amp;"'!i97"),IF('Summary dashboard'!$B$1="Budgeted expenditure approach",E_budgeted!I498,IF('Summary dashboard'!$B$1="Minimum cost approach",E_mincost!I489)))</f>
        <v>16490864.411249999</v>
      </c>
      <c r="J32" s="29" cm="1">
        <f t="array" aca="1" ref="J32" ca="1">IF('Summary dashboard'!$B$1="Unit cost approach",INDIRECT("'"&amp;$B$2&amp;"'!j97"),IF('Summary dashboard'!$B$1="Budgeted expenditure approach",E_budgeted!J498,IF('Summary dashboard'!$B$1="Minimum cost approach",E_mincost!J489)))</f>
        <v>16490864.411249999</v>
      </c>
      <c r="K32" s="29" cm="1">
        <f t="array" aca="1" ref="K32" ca="1">IF('Summary dashboard'!$B$1="Unit cost approach",INDIRECT("'"&amp;$B$2&amp;"'!k97"),IF('Summary dashboard'!$B$1="Budgeted expenditure approach",E_budgeted!K498,IF('Summary dashboard'!$B$1="Minimum cost approach",E_mincost!K489)))</f>
        <v>16490864.411249999</v>
      </c>
      <c r="L32" s="24" t="str">
        <f>IF('Summary dashboard'!$B$1="Unit cost approach",IF(AND(ISNUMBER('CMA function inputs'!B13),INDEX('Data inputs'!$B$29:$G$39,MATCH('CMA dashboard'!A32,'Data inputs'!$A$29:$A$39,0),MATCH('CMA dashboard'!$B$2,'Data inputs'!$B$28:$G$28,0))&gt;0),"","NOTE: Budget figures are used to calculate this value as no unit cost data is available"),"")</f>
        <v/>
      </c>
    </row>
    <row r="33" spans="1:12" x14ac:dyDescent="0.25">
      <c r="A33" s="52" t="s">
        <v>69</v>
      </c>
      <c r="B33" s="53">
        <f ca="1">SUM(B22:B32)</f>
        <v>52187951.761067331</v>
      </c>
      <c r="C33" s="53">
        <f t="shared" ref="C33:K33" ca="1" si="2">SUM(C22:C32)</f>
        <v>52187951.761067331</v>
      </c>
      <c r="D33" s="53">
        <f t="shared" ca="1" si="2"/>
        <v>52187951.761067331</v>
      </c>
      <c r="E33" s="53">
        <f t="shared" ca="1" si="2"/>
        <v>52187951.761067331</v>
      </c>
      <c r="F33" s="53">
        <f t="shared" ca="1" si="2"/>
        <v>52187951.761067331</v>
      </c>
      <c r="G33" s="53">
        <f t="shared" ca="1" si="2"/>
        <v>52187951.761067331</v>
      </c>
      <c r="H33" s="53">
        <f t="shared" ca="1" si="2"/>
        <v>52187951.761067331</v>
      </c>
      <c r="I33" s="53">
        <f t="shared" ca="1" si="2"/>
        <v>52187951.761067331</v>
      </c>
      <c r="J33" s="53">
        <f t="shared" ca="1" si="2"/>
        <v>52187951.761067331</v>
      </c>
      <c r="K33" s="53">
        <f t="shared" ca="1" si="2"/>
        <v>52187951.761067331</v>
      </c>
      <c r="L33" s="24"/>
    </row>
  </sheetData>
  <mergeCells count="3">
    <mergeCell ref="B1:D1"/>
    <mergeCell ref="B4:D4"/>
    <mergeCell ref="B2:D2"/>
  </mergeCell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67390ECF-B7B2-4AA0-8873-9011F9BD39F2}">
          <x14:formula1>
            <xm:f>Lists!$C$2:$C$7</xm:f>
          </x14:formula1>
          <xm:sqref>B2:C2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D1F97-BF22-425C-8BB2-BF717A111BCF}">
  <dimension ref="A1:H42"/>
  <sheetViews>
    <sheetView workbookViewId="0">
      <selection activeCell="A10" sqref="A10"/>
    </sheetView>
  </sheetViews>
  <sheetFormatPr defaultColWidth="8.7109375" defaultRowHeight="15" x14ac:dyDescent="0.25"/>
  <cols>
    <col min="1" max="1" width="34" style="23" customWidth="1"/>
    <col min="2" max="7" width="15.7109375" style="23" customWidth="1"/>
    <col min="8" max="8" width="12" style="23" bestFit="1" customWidth="1"/>
    <col min="9" max="16384" width="8.7109375" style="23"/>
  </cols>
  <sheetData>
    <row r="1" spans="1:5" s="41" customFormat="1" x14ac:dyDescent="0.25">
      <c r="A1" s="40" t="s">
        <v>120</v>
      </c>
    </row>
    <row r="2" spans="1:5" ht="6" customHeight="1" x14ac:dyDescent="0.25"/>
    <row r="3" spans="1:5" ht="30" x14ac:dyDescent="0.25">
      <c r="B3" s="85" t="s">
        <v>114</v>
      </c>
      <c r="C3" s="86" t="s">
        <v>18</v>
      </c>
      <c r="D3" s="86" t="s">
        <v>113</v>
      </c>
      <c r="E3" s="24"/>
    </row>
    <row r="4" spans="1:5" x14ac:dyDescent="0.25">
      <c r="A4" s="31" t="s">
        <v>42</v>
      </c>
      <c r="B4" s="36">
        <v>3767940628</v>
      </c>
      <c r="C4" s="37">
        <v>15000000</v>
      </c>
      <c r="D4" s="38">
        <v>183125.02478000001</v>
      </c>
    </row>
    <row r="5" spans="1:5" x14ac:dyDescent="0.25">
      <c r="A5" s="31" t="s">
        <v>31</v>
      </c>
      <c r="B5" s="35">
        <v>2370210700</v>
      </c>
      <c r="C5" s="10">
        <v>2153500</v>
      </c>
      <c r="D5" s="11">
        <v>45917.854123999998</v>
      </c>
    </row>
    <row r="6" spans="1:5" x14ac:dyDescent="0.25">
      <c r="A6" s="31" t="s">
        <v>50</v>
      </c>
      <c r="B6" s="35">
        <v>2778000000</v>
      </c>
      <c r="C6" s="10">
        <v>11705497.34976423</v>
      </c>
      <c r="D6" s="11">
        <v>84064.068144999997</v>
      </c>
    </row>
    <row r="7" spans="1:5" x14ac:dyDescent="0.25">
      <c r="A7" s="31" t="s">
        <v>33</v>
      </c>
      <c r="B7" s="35">
        <v>8542687374</v>
      </c>
      <c r="C7" s="10">
        <v>12600000</v>
      </c>
      <c r="D7" s="11">
        <v>600989.77801799995</v>
      </c>
    </row>
    <row r="8" spans="1:5" x14ac:dyDescent="0.25">
      <c r="A8" s="31" t="s">
        <v>32</v>
      </c>
      <c r="B8" s="35">
        <v>1976163129</v>
      </c>
      <c r="C8" s="10">
        <v>7170793.3587458339</v>
      </c>
      <c r="D8" s="11">
        <v>163172.70941700001</v>
      </c>
    </row>
    <row r="9" spans="1:5" x14ac:dyDescent="0.25">
      <c r="A9" s="31" t="s">
        <v>34</v>
      </c>
      <c r="B9" s="35">
        <v>2880773260</v>
      </c>
      <c r="C9" s="10">
        <v>7262734</v>
      </c>
      <c r="D9" s="11">
        <v>142502.05600899999</v>
      </c>
    </row>
    <row r="10" spans="1:5" ht="6" customHeight="1" x14ac:dyDescent="0.25"/>
    <row r="11" spans="1:5" s="41" customFormat="1" x14ac:dyDescent="0.25">
      <c r="A11" s="40" t="s">
        <v>24</v>
      </c>
      <c r="B11" s="42"/>
    </row>
    <row r="12" spans="1:5" ht="6" customHeight="1" x14ac:dyDescent="0.25"/>
    <row r="13" spans="1:5" ht="45" x14ac:dyDescent="0.25">
      <c r="B13" s="85" t="s">
        <v>26</v>
      </c>
      <c r="C13" s="85" t="s">
        <v>27</v>
      </c>
      <c r="D13" s="24"/>
    </row>
    <row r="14" spans="1:5" x14ac:dyDescent="0.25">
      <c r="A14" s="39" t="s">
        <v>35</v>
      </c>
      <c r="B14" s="94">
        <v>0.77</v>
      </c>
      <c r="C14" s="95">
        <v>0.57000000000000006</v>
      </c>
      <c r="D14" s="90"/>
    </row>
    <row r="15" spans="1:5" x14ac:dyDescent="0.25">
      <c r="A15" s="39" t="s">
        <v>36</v>
      </c>
      <c r="B15" s="94">
        <v>0.30000000000000004</v>
      </c>
      <c r="C15" s="95">
        <v>0.1</v>
      </c>
      <c r="D15" s="91"/>
    </row>
    <row r="16" spans="1:5" x14ac:dyDescent="0.25">
      <c r="A16" s="39" t="s">
        <v>11</v>
      </c>
      <c r="B16" s="94">
        <v>0.4</v>
      </c>
      <c r="C16" s="95">
        <v>0.19999999999999998</v>
      </c>
      <c r="D16" s="91"/>
    </row>
    <row r="17" spans="1:8" x14ac:dyDescent="0.25">
      <c r="A17" s="39" t="s">
        <v>124</v>
      </c>
      <c r="B17" s="94">
        <v>0.79999999999999993</v>
      </c>
      <c r="C17" s="95">
        <v>0.6</v>
      </c>
      <c r="D17" s="91"/>
    </row>
    <row r="18" spans="1:8" x14ac:dyDescent="0.25">
      <c r="A18" s="39" t="s">
        <v>12</v>
      </c>
      <c r="B18" s="94">
        <v>0.1</v>
      </c>
      <c r="C18" s="95">
        <v>0</v>
      </c>
      <c r="D18" s="91"/>
    </row>
    <row r="19" spans="1:8" x14ac:dyDescent="0.25">
      <c r="A19" s="39" t="s">
        <v>13</v>
      </c>
      <c r="B19" s="94">
        <v>0.4</v>
      </c>
      <c r="C19" s="95">
        <v>0.19999999999999998</v>
      </c>
      <c r="D19" s="91"/>
    </row>
    <row r="20" spans="1:8" x14ac:dyDescent="0.25">
      <c r="A20" s="39" t="s">
        <v>14</v>
      </c>
      <c r="B20" s="94">
        <v>0.1</v>
      </c>
      <c r="C20" s="95">
        <v>0</v>
      </c>
      <c r="D20" s="91"/>
    </row>
    <row r="21" spans="1:8" x14ac:dyDescent="0.25">
      <c r="A21" s="39" t="s">
        <v>125</v>
      </c>
      <c r="B21" s="94">
        <v>0.79999999999999993</v>
      </c>
      <c r="C21" s="95">
        <v>0.6</v>
      </c>
      <c r="D21" s="91"/>
    </row>
    <row r="22" spans="1:8" x14ac:dyDescent="0.25">
      <c r="A22" s="39" t="s">
        <v>37</v>
      </c>
      <c r="B22" s="94">
        <v>0.63</v>
      </c>
      <c r="C22" s="95">
        <v>0.43000000000000005</v>
      </c>
      <c r="D22" s="91"/>
    </row>
    <row r="23" spans="1:8" x14ac:dyDescent="0.25">
      <c r="A23" s="39" t="s">
        <v>38</v>
      </c>
      <c r="B23" s="94">
        <v>0.1</v>
      </c>
      <c r="C23" s="95">
        <v>0</v>
      </c>
      <c r="D23" s="91"/>
    </row>
    <row r="24" spans="1:8" x14ac:dyDescent="0.25">
      <c r="A24" s="39" t="s">
        <v>15</v>
      </c>
      <c r="B24" s="94">
        <v>0.4</v>
      </c>
      <c r="C24" s="95">
        <v>0.19999999999999998</v>
      </c>
      <c r="D24" s="91"/>
    </row>
    <row r="25" spans="1:8" ht="7.5" customHeight="1" x14ac:dyDescent="0.25"/>
    <row r="26" spans="1:8" s="41" customFormat="1" x14ac:dyDescent="0.25">
      <c r="A26" s="40" t="s">
        <v>77</v>
      </c>
    </row>
    <row r="27" spans="1:8" ht="6" customHeight="1" x14ac:dyDescent="0.25"/>
    <row r="28" spans="1:8" ht="37.5" customHeight="1" x14ac:dyDescent="0.25">
      <c r="A28" s="58" t="str">
        <f>LEFT('Summary dashboard'!C4,2)&amp;RIGHT('Summary dashboard'!C4,2)&amp;"/"&amp;RIGHT('Summary dashboard'!C4+1,2)&amp;" budget (Rand)"</f>
        <v>2023/24 budget (Rand)</v>
      </c>
      <c r="B28" s="85" t="s">
        <v>42</v>
      </c>
      <c r="C28" s="85" t="s">
        <v>31</v>
      </c>
      <c r="D28" s="85" t="s">
        <v>50</v>
      </c>
      <c r="E28" s="85" t="s">
        <v>33</v>
      </c>
      <c r="F28" s="85" t="s">
        <v>32</v>
      </c>
      <c r="G28" s="85" t="s">
        <v>34</v>
      </c>
    </row>
    <row r="29" spans="1:8" x14ac:dyDescent="0.25">
      <c r="A29" s="31" t="s">
        <v>35</v>
      </c>
      <c r="B29" s="56">
        <v>4985529.0415000003</v>
      </c>
      <c r="C29" s="56">
        <v>13355253.223953461</v>
      </c>
      <c r="D29" s="56">
        <v>13973536.140000002</v>
      </c>
      <c r="E29" s="56">
        <v>9632104.7785999998</v>
      </c>
      <c r="F29" s="56">
        <v>10898772.345000001</v>
      </c>
      <c r="G29" s="56">
        <v>26711525.53247565</v>
      </c>
    </row>
    <row r="30" spans="1:8" x14ac:dyDescent="0.25">
      <c r="A30" s="31" t="s">
        <v>36</v>
      </c>
      <c r="B30" s="57">
        <v>3607098.0599999996</v>
      </c>
      <c r="C30" s="57">
        <v>5424291.8557658447</v>
      </c>
      <c r="D30" s="57">
        <v>0</v>
      </c>
      <c r="E30" s="57">
        <v>9196844.3790000007</v>
      </c>
      <c r="F30" s="57">
        <v>6599505.0250000004</v>
      </c>
      <c r="G30" s="57">
        <v>7484555.0927052032</v>
      </c>
    </row>
    <row r="31" spans="1:8" x14ac:dyDescent="0.25">
      <c r="A31" s="31" t="s">
        <v>11</v>
      </c>
      <c r="B31" s="57">
        <v>0</v>
      </c>
      <c r="C31" s="57">
        <v>0</v>
      </c>
      <c r="D31" s="57">
        <v>0</v>
      </c>
      <c r="E31" s="57">
        <v>0</v>
      </c>
      <c r="F31" s="57">
        <v>0</v>
      </c>
      <c r="G31" s="57">
        <v>0</v>
      </c>
    </row>
    <row r="32" spans="1:8" x14ac:dyDescent="0.25">
      <c r="A32" s="31" t="s">
        <v>124</v>
      </c>
      <c r="B32" s="57">
        <v>500000</v>
      </c>
      <c r="C32" s="57">
        <v>5062017.417942144</v>
      </c>
      <c r="D32" s="57">
        <v>500000</v>
      </c>
      <c r="E32" s="57">
        <v>6181489.4050000012</v>
      </c>
      <c r="F32" s="57">
        <v>500000</v>
      </c>
      <c r="G32" s="57">
        <v>500000</v>
      </c>
      <c r="H32" s="24"/>
    </row>
    <row r="33" spans="1:8" x14ac:dyDescent="0.25">
      <c r="A33" s="31" t="s">
        <v>12</v>
      </c>
      <c r="B33" s="57">
        <v>23007240.546666663</v>
      </c>
      <c r="C33" s="57">
        <v>29452214.264679439</v>
      </c>
      <c r="D33" s="57">
        <v>32756956.829999998</v>
      </c>
      <c r="E33" s="57">
        <v>46339876.588466674</v>
      </c>
      <c r="F33" s="57">
        <v>15135160.683333334</v>
      </c>
      <c r="G33" s="57">
        <v>28754239.431943417</v>
      </c>
      <c r="H33" s="27"/>
    </row>
    <row r="34" spans="1:8" x14ac:dyDescent="0.25">
      <c r="A34" s="31" t="s">
        <v>13</v>
      </c>
      <c r="B34" s="57">
        <v>0</v>
      </c>
      <c r="C34" s="57">
        <v>0</v>
      </c>
      <c r="D34" s="57">
        <v>0</v>
      </c>
      <c r="E34" s="57">
        <v>0</v>
      </c>
      <c r="F34" s="57">
        <v>0</v>
      </c>
      <c r="G34" s="57">
        <v>5078382.9124949528</v>
      </c>
    </row>
    <row r="35" spans="1:8" x14ac:dyDescent="0.25">
      <c r="A35" s="31" t="s">
        <v>14</v>
      </c>
      <c r="B35" s="57">
        <v>0</v>
      </c>
      <c r="C35" s="57">
        <v>0</v>
      </c>
      <c r="D35" s="57">
        <v>0</v>
      </c>
      <c r="E35" s="57">
        <v>0</v>
      </c>
      <c r="F35" s="57">
        <v>0</v>
      </c>
      <c r="G35" s="57">
        <v>0</v>
      </c>
    </row>
    <row r="36" spans="1:8" x14ac:dyDescent="0.25">
      <c r="A36" s="31" t="s">
        <v>125</v>
      </c>
      <c r="B36" s="57">
        <v>0</v>
      </c>
      <c r="C36" s="57">
        <v>0</v>
      </c>
      <c r="D36" s="57">
        <v>0</v>
      </c>
      <c r="E36" s="57">
        <v>0</v>
      </c>
      <c r="F36" s="57">
        <v>0</v>
      </c>
      <c r="G36" s="57">
        <v>13332350.021359622</v>
      </c>
      <c r="H36" s="27"/>
    </row>
    <row r="37" spans="1:8" x14ac:dyDescent="0.25">
      <c r="A37" s="31" t="s">
        <v>37</v>
      </c>
      <c r="B37" s="57">
        <v>33951202.913499996</v>
      </c>
      <c r="C37" s="57">
        <v>31747599.409519795</v>
      </c>
      <c r="D37" s="57">
        <v>36294819.539999999</v>
      </c>
      <c r="E37" s="57">
        <v>37765910.174399994</v>
      </c>
      <c r="F37" s="57">
        <v>25646636.425000001</v>
      </c>
      <c r="G37" s="57">
        <v>23713039.406007089</v>
      </c>
    </row>
    <row r="38" spans="1:8" x14ac:dyDescent="0.25">
      <c r="A38" s="31" t="s">
        <v>38</v>
      </c>
      <c r="B38" s="57">
        <v>3370753.2299999995</v>
      </c>
      <c r="C38" s="57">
        <v>6581777.2667037519</v>
      </c>
      <c r="D38" s="57">
        <v>1001394.4499999998</v>
      </c>
      <c r="E38" s="57">
        <v>14884789.340000005</v>
      </c>
      <c r="F38" s="57">
        <v>1892491.0200000003</v>
      </c>
      <c r="G38" s="57">
        <v>11476184.42343713</v>
      </c>
    </row>
    <row r="39" spans="1:8" x14ac:dyDescent="0.25">
      <c r="A39" s="31" t="s">
        <v>15</v>
      </c>
      <c r="B39" s="57">
        <v>62407187.247000001</v>
      </c>
      <c r="C39" s="57">
        <v>40414846.561435595</v>
      </c>
      <c r="D39" s="57">
        <v>17344926.445833329</v>
      </c>
      <c r="E39" s="57">
        <v>54969548.037499994</v>
      </c>
      <c r="F39" s="57">
        <v>36232253.895000003</v>
      </c>
      <c r="G39" s="57">
        <v>29380897.94441025</v>
      </c>
    </row>
    <row r="40" spans="1:8" x14ac:dyDescent="0.25">
      <c r="A40" s="69" t="s">
        <v>69</v>
      </c>
      <c r="B40" s="84">
        <f>SUM(B29:B39)</f>
        <v>131829011.03866667</v>
      </c>
      <c r="C40" s="84">
        <f t="shared" ref="C40:G40" si="0">SUM(C29:C39)</f>
        <v>132038000.00000003</v>
      </c>
      <c r="D40" s="84">
        <f t="shared" si="0"/>
        <v>101871633.40583332</v>
      </c>
      <c r="E40" s="84">
        <f t="shared" si="0"/>
        <v>178970562.70296666</v>
      </c>
      <c r="F40" s="84">
        <f t="shared" si="0"/>
        <v>96904819.393333346</v>
      </c>
      <c r="G40" s="84">
        <f t="shared" si="0"/>
        <v>146431174.76483333</v>
      </c>
    </row>
    <row r="42" spans="1:8" x14ac:dyDescent="0.25">
      <c r="B42" s="27"/>
      <c r="C42" s="27"/>
      <c r="D42" s="27"/>
      <c r="E42" s="27"/>
      <c r="F42" s="27"/>
      <c r="G42" s="27"/>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5B658-DCB7-4860-8ADF-F07C754E6AE7}">
  <dimension ref="A1:AP63"/>
  <sheetViews>
    <sheetView zoomScaleNormal="100" workbookViewId="0">
      <selection activeCell="F16" sqref="F16"/>
    </sheetView>
  </sheetViews>
  <sheetFormatPr defaultRowHeight="15" x14ac:dyDescent="0.25"/>
  <cols>
    <col min="1" max="1" width="42.7109375" customWidth="1"/>
    <col min="2" max="2" width="16.85546875" customWidth="1"/>
    <col min="3" max="3" width="21" customWidth="1"/>
    <col min="4" max="4" width="20.140625" customWidth="1"/>
    <col min="5" max="12" width="16.85546875" customWidth="1"/>
    <col min="13" max="14" width="8.7109375" style="23" customWidth="1"/>
    <col min="15" max="42" width="9.140625" style="23"/>
  </cols>
  <sheetData>
    <row r="1" spans="1:42" s="40" customFormat="1" x14ac:dyDescent="0.25">
      <c r="A1" s="40" t="s">
        <v>121</v>
      </c>
    </row>
    <row r="2" spans="1:42" s="23" customFormat="1" x14ac:dyDescent="0.25">
      <c r="B2" s="39" t="s">
        <v>59</v>
      </c>
      <c r="C2" s="39" t="s">
        <v>17</v>
      </c>
    </row>
    <row r="3" spans="1:42" s="23" customFormat="1" ht="15.75" customHeight="1" x14ac:dyDescent="0.25">
      <c r="A3" s="39" t="s">
        <v>35</v>
      </c>
      <c r="B3" s="96">
        <v>3.1046720286065279E-3</v>
      </c>
      <c r="C3" s="55" t="s">
        <v>114</v>
      </c>
    </row>
    <row r="4" spans="1:42" s="23" customFormat="1" ht="15.75" customHeight="1" x14ac:dyDescent="0.25">
      <c r="A4" s="39" t="s">
        <v>36</v>
      </c>
      <c r="B4" s="96">
        <v>1.7019297206331829E-3</v>
      </c>
      <c r="C4" s="55" t="s">
        <v>114</v>
      </c>
    </row>
    <row r="5" spans="1:42" s="23" customFormat="1" ht="15.75" customHeight="1" x14ac:dyDescent="0.25">
      <c r="A5" s="39" t="s">
        <v>11</v>
      </c>
      <c r="B5" s="117" t="s">
        <v>109</v>
      </c>
      <c r="C5" s="118"/>
    </row>
    <row r="6" spans="1:42" s="23" customFormat="1" ht="15.75" customHeight="1" x14ac:dyDescent="0.25">
      <c r="A6" s="39" t="s">
        <v>124</v>
      </c>
      <c r="B6" s="96">
        <v>15.079185256950241</v>
      </c>
      <c r="C6" s="55" t="s">
        <v>113</v>
      </c>
    </row>
    <row r="7" spans="1:42" s="23" customFormat="1" ht="15.75" customHeight="1" x14ac:dyDescent="0.25">
      <c r="A7" s="39" t="s">
        <v>12</v>
      </c>
      <c r="B7" s="96">
        <v>9.7869565022375288E-3</v>
      </c>
      <c r="C7" s="55" t="s">
        <v>114</v>
      </c>
    </row>
    <row r="8" spans="1:42" s="23" customFormat="1" ht="15.75" customHeight="1" x14ac:dyDescent="0.25">
      <c r="A8" s="39" t="s">
        <v>13</v>
      </c>
      <c r="B8" s="117" t="s">
        <v>109</v>
      </c>
      <c r="C8" s="118"/>
    </row>
    <row r="9" spans="1:42" s="23" customFormat="1" ht="15.75" customHeight="1" x14ac:dyDescent="0.25">
      <c r="A9" s="39" t="s">
        <v>14</v>
      </c>
      <c r="B9" s="117" t="s">
        <v>109</v>
      </c>
      <c r="C9" s="118"/>
    </row>
    <row r="10" spans="1:42" s="23" customFormat="1" ht="15.75" customHeight="1" x14ac:dyDescent="0.25">
      <c r="A10" s="39" t="s">
        <v>125</v>
      </c>
      <c r="B10" s="96">
        <v>3.2367164664335804E-4</v>
      </c>
      <c r="C10" s="55" t="s">
        <v>114</v>
      </c>
    </row>
    <row r="11" spans="1:42" s="23" customFormat="1" ht="15.75" customHeight="1" x14ac:dyDescent="0.25">
      <c r="A11" s="39" t="s">
        <v>37</v>
      </c>
      <c r="B11" s="96">
        <v>9.4147590178041175E-3</v>
      </c>
      <c r="C11" s="55" t="s">
        <v>114</v>
      </c>
    </row>
    <row r="12" spans="1:42" s="23" customFormat="1" ht="15.75" customHeight="1" x14ac:dyDescent="0.25">
      <c r="A12" s="39" t="s">
        <v>38</v>
      </c>
      <c r="B12" s="96">
        <v>1.262070332489598E-3</v>
      </c>
      <c r="C12" s="55" t="s">
        <v>114</v>
      </c>
    </row>
    <row r="13" spans="1:42" s="23" customFormat="1" ht="15.75" customHeight="1" x14ac:dyDescent="0.25">
      <c r="A13" s="39" t="s">
        <v>15</v>
      </c>
      <c r="B13" s="96">
        <v>1.0919241845339479E-2</v>
      </c>
      <c r="C13" s="55" t="s">
        <v>114</v>
      </c>
    </row>
    <row r="14" spans="1:42" s="23" customFormat="1" ht="5.25" customHeight="1" x14ac:dyDescent="0.25"/>
    <row r="15" spans="1:42" s="40" customFormat="1" x14ac:dyDescent="0.25">
      <c r="A15" s="40" t="str">
        <f>"FUNCTIONAL ARRANGEMENTS ("&amp;'Summary dashboard'!C4&amp;")"</f>
        <v>FUNCTIONAL ARRANGEMENTS (2023)</v>
      </c>
    </row>
    <row r="16" spans="1:42" s="4" customFormat="1" ht="45" x14ac:dyDescent="0.25">
      <c r="A16" s="33" t="s">
        <v>39</v>
      </c>
      <c r="B16" s="78" t="s">
        <v>35</v>
      </c>
      <c r="C16" s="78" t="s">
        <v>36</v>
      </c>
      <c r="D16" s="78" t="s">
        <v>11</v>
      </c>
      <c r="E16" s="78" t="s">
        <v>124</v>
      </c>
      <c r="F16" s="78" t="s">
        <v>12</v>
      </c>
      <c r="G16" s="78" t="s">
        <v>13</v>
      </c>
      <c r="H16" s="78" t="s">
        <v>14</v>
      </c>
      <c r="I16" s="78" t="s">
        <v>125</v>
      </c>
      <c r="J16" s="78" t="s">
        <v>37</v>
      </c>
      <c r="K16" s="78" t="s">
        <v>38</v>
      </c>
      <c r="L16" s="78" t="s">
        <v>15</v>
      </c>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row>
    <row r="17" spans="1:12" x14ac:dyDescent="0.25">
      <c r="A17" s="80" t="s">
        <v>42</v>
      </c>
      <c r="B17" s="97">
        <v>1</v>
      </c>
      <c r="C17" s="97">
        <v>1</v>
      </c>
      <c r="D17" s="97">
        <v>1</v>
      </c>
      <c r="E17" s="97">
        <v>1</v>
      </c>
      <c r="F17" s="97">
        <v>1</v>
      </c>
      <c r="G17" s="97">
        <v>1</v>
      </c>
      <c r="H17" s="97">
        <v>1</v>
      </c>
      <c r="I17" s="97">
        <v>1</v>
      </c>
      <c r="J17" s="97">
        <v>1</v>
      </c>
      <c r="K17" s="97">
        <v>1</v>
      </c>
      <c r="L17" s="97">
        <v>1</v>
      </c>
    </row>
    <row r="18" spans="1:12" x14ac:dyDescent="0.25">
      <c r="A18" s="80" t="s">
        <v>31</v>
      </c>
      <c r="B18" s="97">
        <v>1</v>
      </c>
      <c r="C18" s="97">
        <v>1</v>
      </c>
      <c r="D18" s="97">
        <v>1</v>
      </c>
      <c r="E18" s="97">
        <v>1</v>
      </c>
      <c r="F18" s="97">
        <v>1</v>
      </c>
      <c r="G18" s="97">
        <v>1</v>
      </c>
      <c r="H18" s="97">
        <v>1</v>
      </c>
      <c r="I18" s="97">
        <v>1</v>
      </c>
      <c r="J18" s="97">
        <v>1</v>
      </c>
      <c r="K18" s="97">
        <v>1</v>
      </c>
      <c r="L18" s="97">
        <v>1</v>
      </c>
    </row>
    <row r="19" spans="1:12" x14ac:dyDescent="0.25">
      <c r="A19" s="80" t="s">
        <v>50</v>
      </c>
      <c r="B19" s="97">
        <v>1</v>
      </c>
      <c r="C19" s="97">
        <v>1</v>
      </c>
      <c r="D19" s="97">
        <v>1</v>
      </c>
      <c r="E19" s="97">
        <v>1</v>
      </c>
      <c r="F19" s="97">
        <v>1</v>
      </c>
      <c r="G19" s="97">
        <v>1</v>
      </c>
      <c r="H19" s="97">
        <v>1</v>
      </c>
      <c r="I19" s="97">
        <v>1</v>
      </c>
      <c r="J19" s="97">
        <v>1</v>
      </c>
      <c r="K19" s="97">
        <v>1</v>
      </c>
      <c r="L19" s="97">
        <v>1</v>
      </c>
    </row>
    <row r="20" spans="1:12" x14ac:dyDescent="0.25">
      <c r="A20" s="80" t="s">
        <v>33</v>
      </c>
      <c r="B20" s="97">
        <v>1</v>
      </c>
      <c r="C20" s="97">
        <v>1</v>
      </c>
      <c r="D20" s="97">
        <v>1</v>
      </c>
      <c r="E20" s="97">
        <v>1</v>
      </c>
      <c r="F20" s="97">
        <v>1</v>
      </c>
      <c r="G20" s="97">
        <v>1</v>
      </c>
      <c r="H20" s="97">
        <v>1</v>
      </c>
      <c r="I20" s="97">
        <v>1</v>
      </c>
      <c r="J20" s="97">
        <v>1</v>
      </c>
      <c r="K20" s="97">
        <v>1</v>
      </c>
      <c r="L20" s="97">
        <v>1</v>
      </c>
    </row>
    <row r="21" spans="1:12" x14ac:dyDescent="0.25">
      <c r="A21" s="80" t="s">
        <v>32</v>
      </c>
      <c r="B21" s="97">
        <v>1</v>
      </c>
      <c r="C21" s="97">
        <v>1</v>
      </c>
      <c r="D21" s="97">
        <v>1</v>
      </c>
      <c r="E21" s="97">
        <v>1</v>
      </c>
      <c r="F21" s="97">
        <v>1</v>
      </c>
      <c r="G21" s="97">
        <v>1</v>
      </c>
      <c r="H21" s="97">
        <v>1</v>
      </c>
      <c r="I21" s="97">
        <v>1</v>
      </c>
      <c r="J21" s="97">
        <v>1</v>
      </c>
      <c r="K21" s="97">
        <v>1</v>
      </c>
      <c r="L21" s="97">
        <v>1</v>
      </c>
    </row>
    <row r="22" spans="1:12" x14ac:dyDescent="0.25">
      <c r="A22" s="80" t="s">
        <v>34</v>
      </c>
      <c r="B22" s="97">
        <v>1</v>
      </c>
      <c r="C22" s="97">
        <v>1</v>
      </c>
      <c r="D22" s="97">
        <v>1</v>
      </c>
      <c r="E22" s="97">
        <v>1</v>
      </c>
      <c r="F22" s="97">
        <v>1</v>
      </c>
      <c r="G22" s="97">
        <v>1</v>
      </c>
      <c r="H22" s="97">
        <v>1</v>
      </c>
      <c r="I22" s="97">
        <v>1</v>
      </c>
      <c r="J22" s="97">
        <v>1</v>
      </c>
      <c r="K22" s="97">
        <v>1</v>
      </c>
      <c r="L22" s="97">
        <v>1</v>
      </c>
    </row>
    <row r="23" spans="1:12" s="40" customFormat="1" x14ac:dyDescent="0.25">
      <c r="A23" s="40" t="s">
        <v>25</v>
      </c>
    </row>
    <row r="24" spans="1:12" ht="45" x14ac:dyDescent="0.25">
      <c r="A24" s="23"/>
      <c r="B24" s="78" t="s">
        <v>35</v>
      </c>
      <c r="C24" s="78" t="s">
        <v>36</v>
      </c>
      <c r="D24" s="78" t="s">
        <v>11</v>
      </c>
      <c r="E24" s="78" t="s">
        <v>124</v>
      </c>
      <c r="F24" s="78" t="s">
        <v>12</v>
      </c>
      <c r="G24" s="78" t="s">
        <v>13</v>
      </c>
      <c r="H24" s="78" t="s">
        <v>14</v>
      </c>
      <c r="I24" s="78" t="s">
        <v>125</v>
      </c>
      <c r="J24" s="78" t="s">
        <v>37</v>
      </c>
      <c r="K24" s="78" t="s">
        <v>38</v>
      </c>
      <c r="L24" s="78" t="s">
        <v>15</v>
      </c>
    </row>
    <row r="25" spans="1:12" x14ac:dyDescent="0.25">
      <c r="A25" s="79" t="s">
        <v>42</v>
      </c>
      <c r="B25" s="74" t="s">
        <v>64</v>
      </c>
      <c r="C25" s="74" t="s">
        <v>64</v>
      </c>
      <c r="D25" s="74" t="s">
        <v>64</v>
      </c>
      <c r="E25" s="74" t="s">
        <v>64</v>
      </c>
      <c r="F25" s="74" t="s">
        <v>64</v>
      </c>
      <c r="G25" s="74" t="s">
        <v>64</v>
      </c>
      <c r="H25" s="74" t="s">
        <v>64</v>
      </c>
      <c r="I25" s="74" t="s">
        <v>64</v>
      </c>
      <c r="J25" s="74" t="s">
        <v>64</v>
      </c>
      <c r="K25" s="74" t="s">
        <v>64</v>
      </c>
      <c r="L25" s="74" t="s">
        <v>64</v>
      </c>
    </row>
    <row r="26" spans="1:12" x14ac:dyDescent="0.25">
      <c r="A26" s="79" t="s">
        <v>31</v>
      </c>
      <c r="B26" s="74" t="s">
        <v>64</v>
      </c>
      <c r="C26" s="74" t="s">
        <v>64</v>
      </c>
      <c r="D26" s="74" t="s">
        <v>64</v>
      </c>
      <c r="E26" s="74" t="s">
        <v>64</v>
      </c>
      <c r="F26" s="74" t="s">
        <v>64</v>
      </c>
      <c r="G26" s="74" t="s">
        <v>64</v>
      </c>
      <c r="H26" s="74" t="s">
        <v>64</v>
      </c>
      <c r="I26" s="74" t="s">
        <v>64</v>
      </c>
      <c r="J26" s="74" t="s">
        <v>64</v>
      </c>
      <c r="K26" s="74" t="s">
        <v>64</v>
      </c>
      <c r="L26" s="74" t="s">
        <v>64</v>
      </c>
    </row>
    <row r="27" spans="1:12" x14ac:dyDescent="0.25">
      <c r="A27" s="79" t="s">
        <v>50</v>
      </c>
      <c r="B27" s="74" t="s">
        <v>64</v>
      </c>
      <c r="C27" s="74" t="s">
        <v>64</v>
      </c>
      <c r="D27" s="74" t="s">
        <v>64</v>
      </c>
      <c r="E27" s="74" t="s">
        <v>64</v>
      </c>
      <c r="F27" s="74" t="s">
        <v>64</v>
      </c>
      <c r="G27" s="74" t="s">
        <v>64</v>
      </c>
      <c r="H27" s="74" t="s">
        <v>64</v>
      </c>
      <c r="I27" s="74" t="s">
        <v>64</v>
      </c>
      <c r="J27" s="74" t="s">
        <v>64</v>
      </c>
      <c r="K27" s="74" t="s">
        <v>64</v>
      </c>
      <c r="L27" s="74" t="s">
        <v>64</v>
      </c>
    </row>
    <row r="28" spans="1:12" x14ac:dyDescent="0.25">
      <c r="A28" s="79" t="s">
        <v>33</v>
      </c>
      <c r="B28" s="74" t="s">
        <v>64</v>
      </c>
      <c r="C28" s="74" t="s">
        <v>64</v>
      </c>
      <c r="D28" s="74" t="s">
        <v>64</v>
      </c>
      <c r="E28" s="74" t="s">
        <v>64</v>
      </c>
      <c r="F28" s="74" t="s">
        <v>64</v>
      </c>
      <c r="G28" s="74" t="s">
        <v>64</v>
      </c>
      <c r="H28" s="74" t="s">
        <v>64</v>
      </c>
      <c r="I28" s="74" t="s">
        <v>64</v>
      </c>
      <c r="J28" s="74" t="s">
        <v>64</v>
      </c>
      <c r="K28" s="74" t="s">
        <v>64</v>
      </c>
      <c r="L28" s="74" t="s">
        <v>64</v>
      </c>
    </row>
    <row r="29" spans="1:12" x14ac:dyDescent="0.25">
      <c r="A29" s="79" t="s">
        <v>32</v>
      </c>
      <c r="B29" s="74" t="s">
        <v>64</v>
      </c>
      <c r="C29" s="74" t="s">
        <v>64</v>
      </c>
      <c r="D29" s="74" t="s">
        <v>64</v>
      </c>
      <c r="E29" s="74" t="s">
        <v>64</v>
      </c>
      <c r="F29" s="74" t="s">
        <v>64</v>
      </c>
      <c r="G29" s="74" t="s">
        <v>64</v>
      </c>
      <c r="H29" s="74" t="s">
        <v>64</v>
      </c>
      <c r="I29" s="74" t="s">
        <v>64</v>
      </c>
      <c r="J29" s="74" t="s">
        <v>64</v>
      </c>
      <c r="K29" s="74" t="s">
        <v>64</v>
      </c>
      <c r="L29" s="74" t="s">
        <v>64</v>
      </c>
    </row>
    <row r="30" spans="1:12" x14ac:dyDescent="0.25">
      <c r="A30" s="79" t="s">
        <v>34</v>
      </c>
      <c r="B30" s="74" t="s">
        <v>64</v>
      </c>
      <c r="C30" s="74" t="s">
        <v>64</v>
      </c>
      <c r="D30" s="74" t="s">
        <v>64</v>
      </c>
      <c r="E30" s="74" t="s">
        <v>64</v>
      </c>
      <c r="F30" s="74" t="s">
        <v>64</v>
      </c>
      <c r="G30" s="74" t="s">
        <v>64</v>
      </c>
      <c r="H30" s="74" t="s">
        <v>64</v>
      </c>
      <c r="I30" s="74" t="s">
        <v>64</v>
      </c>
      <c r="J30" s="74" t="s">
        <v>64</v>
      </c>
      <c r="K30" s="74" t="s">
        <v>64</v>
      </c>
      <c r="L30" s="74" t="s">
        <v>64</v>
      </c>
    </row>
    <row r="31" spans="1:12" s="23" customFormat="1" x14ac:dyDescent="0.25"/>
    <row r="32" spans="1:12" s="23" customFormat="1" x14ac:dyDescent="0.25"/>
    <row r="33" s="23" customFormat="1" x14ac:dyDescent="0.25"/>
    <row r="34" s="23" customFormat="1" x14ac:dyDescent="0.25"/>
    <row r="35" s="23" customFormat="1" x14ac:dyDescent="0.25"/>
    <row r="36" s="23" customFormat="1" x14ac:dyDescent="0.25"/>
    <row r="37" s="23" customFormat="1" x14ac:dyDescent="0.25"/>
    <row r="38" s="23" customFormat="1" x14ac:dyDescent="0.25"/>
    <row r="39" s="23" customFormat="1" x14ac:dyDescent="0.25"/>
    <row r="40" s="23" customFormat="1" x14ac:dyDescent="0.25"/>
    <row r="41" s="23" customFormat="1" x14ac:dyDescent="0.25"/>
    <row r="42" s="23" customFormat="1" x14ac:dyDescent="0.25"/>
    <row r="43" s="23" customFormat="1" x14ac:dyDescent="0.25"/>
    <row r="44" s="23" customFormat="1" x14ac:dyDescent="0.25"/>
    <row r="45" s="23" customFormat="1" x14ac:dyDescent="0.25"/>
    <row r="46" s="23" customFormat="1" x14ac:dyDescent="0.25"/>
    <row r="47" s="23" customFormat="1" x14ac:dyDescent="0.25"/>
    <row r="48" s="23" customFormat="1" x14ac:dyDescent="0.25"/>
    <row r="49" s="23" customFormat="1" x14ac:dyDescent="0.25"/>
    <row r="50" s="23" customFormat="1" x14ac:dyDescent="0.25"/>
    <row r="51" s="23" customFormat="1" x14ac:dyDescent="0.25"/>
    <row r="52" s="23" customFormat="1" x14ac:dyDescent="0.25"/>
    <row r="53" s="23" customFormat="1" x14ac:dyDescent="0.25"/>
    <row r="54" s="23" customFormat="1" x14ac:dyDescent="0.25"/>
    <row r="55" s="23" customFormat="1" x14ac:dyDescent="0.25"/>
    <row r="56" s="23" customFormat="1" x14ac:dyDescent="0.25"/>
    <row r="57" s="23" customFormat="1" x14ac:dyDescent="0.25"/>
    <row r="58" s="23" customFormat="1" x14ac:dyDescent="0.25"/>
    <row r="59" s="23" customFormat="1" x14ac:dyDescent="0.25"/>
    <row r="60" s="23" customFormat="1" x14ac:dyDescent="0.25"/>
    <row r="61" s="23" customFormat="1" x14ac:dyDescent="0.25"/>
    <row r="62" s="23" customFormat="1" x14ac:dyDescent="0.25"/>
    <row r="63" s="23" customFormat="1" x14ac:dyDescent="0.25"/>
  </sheetData>
  <mergeCells count="3">
    <mergeCell ref="B5:C5"/>
    <mergeCell ref="B8:C8"/>
    <mergeCell ref="B9:C9"/>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413DD0-7201-4AA4-8091-EBEB3548BADD}">
  <dimension ref="A1:O107"/>
  <sheetViews>
    <sheetView workbookViewId="0"/>
  </sheetViews>
  <sheetFormatPr defaultRowHeight="15" x14ac:dyDescent="0.25"/>
  <cols>
    <col min="1" max="1" width="32" customWidth="1"/>
    <col min="2" max="11" width="14.5703125" customWidth="1"/>
    <col min="12" max="12" width="13.5703125" customWidth="1"/>
    <col min="14" max="14" width="12.7109375" bestFit="1" customWidth="1"/>
    <col min="15" max="15" width="14" bestFit="1" customWidth="1"/>
  </cols>
  <sheetData>
    <row r="1" spans="1:12" s="3" customFormat="1" x14ac:dyDescent="0.25">
      <c r="A1" s="2" t="s">
        <v>79</v>
      </c>
      <c r="C1" s="2" t="str">
        <f>'CMA dashboard'!B2</f>
        <v>Vaal-Orange CMA</v>
      </c>
    </row>
    <row r="2" spans="1:12" x14ac:dyDescent="0.25">
      <c r="A2" s="1" t="s">
        <v>43</v>
      </c>
      <c r="B2" s="12" t="str">
        <f>'Summary dashboard'!C4</f>
        <v>2023</v>
      </c>
      <c r="C2" s="12">
        <f>B2+1</f>
        <v>2024</v>
      </c>
      <c r="D2" s="12">
        <f t="shared" ref="D2:K2" si="0">C2+1</f>
        <v>2025</v>
      </c>
      <c r="E2" s="12">
        <f t="shared" si="0"/>
        <v>2026</v>
      </c>
      <c r="F2" s="12">
        <f t="shared" si="0"/>
        <v>2027</v>
      </c>
      <c r="G2" s="12">
        <f t="shared" si="0"/>
        <v>2028</v>
      </c>
      <c r="H2" s="12">
        <f t="shared" si="0"/>
        <v>2029</v>
      </c>
      <c r="I2" s="12">
        <f t="shared" si="0"/>
        <v>2030</v>
      </c>
      <c r="J2" s="12">
        <f t="shared" si="0"/>
        <v>2031</v>
      </c>
      <c r="K2" s="12">
        <f t="shared" si="0"/>
        <v>2032</v>
      </c>
      <c r="L2" s="1" t="s">
        <v>28</v>
      </c>
    </row>
    <row r="3" spans="1:12" x14ac:dyDescent="0.25">
      <c r="A3" t="s">
        <v>42</v>
      </c>
      <c r="B3" s="5">
        <f>'Limpopo-Olifants CMA'!B69</f>
        <v>57085430.816802464</v>
      </c>
      <c r="C3" s="5">
        <f>'Limpopo-Olifants CMA'!C69</f>
        <v>57085430.816802464</v>
      </c>
      <c r="D3" s="5">
        <f>'Limpopo-Olifants CMA'!D69</f>
        <v>57085430.816802464</v>
      </c>
      <c r="E3" s="5">
        <f>'Limpopo-Olifants CMA'!E69</f>
        <v>57085430.816802464</v>
      </c>
      <c r="F3" s="5">
        <f>'Limpopo-Olifants CMA'!F69</f>
        <v>57085430.816802464</v>
      </c>
      <c r="G3" s="5">
        <f>'Limpopo-Olifants CMA'!G69</f>
        <v>57085430.816802464</v>
      </c>
      <c r="H3" s="5">
        <f>'Limpopo-Olifants CMA'!H69</f>
        <v>57085430.816802464</v>
      </c>
      <c r="I3" s="5">
        <f>'Limpopo-Olifants CMA'!I69</f>
        <v>57085430.816802464</v>
      </c>
      <c r="J3" s="5">
        <f>'Limpopo-Olifants CMA'!J69</f>
        <v>57085430.816802464</v>
      </c>
      <c r="K3" s="5">
        <f>'Limpopo-Olifants CMA'!K69</f>
        <v>57085430.816802464</v>
      </c>
      <c r="L3" s="14">
        <f>AVERAGE(B3:K3)</f>
        <v>57085430.816802457</v>
      </c>
    </row>
    <row r="4" spans="1:12" x14ac:dyDescent="0.25">
      <c r="A4" t="s">
        <v>31</v>
      </c>
      <c r="B4" s="5">
        <f>'Inkomati-Pongola CMA'!B69</f>
        <v>35073698.477436028</v>
      </c>
      <c r="C4" s="5">
        <f>'Inkomati-Pongola CMA'!C69</f>
        <v>35073698.477436028</v>
      </c>
      <c r="D4" s="5">
        <f>'Inkomati-Pongola CMA'!D69</f>
        <v>35073698.477436028</v>
      </c>
      <c r="E4" s="5">
        <f>'Inkomati-Pongola CMA'!E69</f>
        <v>35073698.477436028</v>
      </c>
      <c r="F4" s="5">
        <f>'Inkomati-Pongola CMA'!F69</f>
        <v>35073698.477436028</v>
      </c>
      <c r="G4" s="5">
        <f>'Inkomati-Pongola CMA'!G69</f>
        <v>35073698.477436028</v>
      </c>
      <c r="H4" s="5">
        <f>'Inkomati-Pongola CMA'!H69</f>
        <v>35073698.477436028</v>
      </c>
      <c r="I4" s="5">
        <f>'Inkomati-Pongola CMA'!I69</f>
        <v>35073698.477436028</v>
      </c>
      <c r="J4" s="5">
        <f>'Inkomati-Pongola CMA'!J69</f>
        <v>35073698.477436028</v>
      </c>
      <c r="K4" s="5">
        <f>'Inkomati-Pongola CMA'!K69</f>
        <v>35073698.477436028</v>
      </c>
      <c r="L4" s="14">
        <f t="shared" ref="L4:L24" si="1">AVERAGE(B4:K4)</f>
        <v>35073698.477436021</v>
      </c>
    </row>
    <row r="5" spans="1:12" x14ac:dyDescent="0.25">
      <c r="A5" t="s">
        <v>50</v>
      </c>
      <c r="B5" s="5">
        <f>'Mkuze-Mtamvuna CMA'!B69</f>
        <v>41472917.512444176</v>
      </c>
      <c r="C5" s="5">
        <f>'Mkuze-Mtamvuna CMA'!C69</f>
        <v>41472917.512444176</v>
      </c>
      <c r="D5" s="5">
        <f>'Mkuze-Mtamvuna CMA'!D69</f>
        <v>41472917.512444176</v>
      </c>
      <c r="E5" s="5">
        <f>'Mkuze-Mtamvuna CMA'!E69</f>
        <v>41472917.512444176</v>
      </c>
      <c r="F5" s="5">
        <f>'Mkuze-Mtamvuna CMA'!F69</f>
        <v>41472917.512444176</v>
      </c>
      <c r="G5" s="5">
        <f>'Mkuze-Mtamvuna CMA'!G69</f>
        <v>41472917.512444176</v>
      </c>
      <c r="H5" s="5">
        <f>'Mkuze-Mtamvuna CMA'!H69</f>
        <v>41472917.512444176</v>
      </c>
      <c r="I5" s="5">
        <f>'Mkuze-Mtamvuna CMA'!I69</f>
        <v>41472917.512444176</v>
      </c>
      <c r="J5" s="5">
        <f>'Mkuze-Mtamvuna CMA'!J69</f>
        <v>41472917.512444176</v>
      </c>
      <c r="K5" s="5">
        <f>'Mkuze-Mtamvuna CMA'!K69</f>
        <v>41472917.512444176</v>
      </c>
      <c r="L5" s="14">
        <f t="shared" si="1"/>
        <v>41472917.512444183</v>
      </c>
    </row>
    <row r="6" spans="1:12" x14ac:dyDescent="0.25">
      <c r="A6" t="s">
        <v>33</v>
      </c>
      <c r="B6" s="5">
        <f>'Vaal-Orange CMA'!B69</f>
        <v>131665744.39347917</v>
      </c>
      <c r="C6" s="5">
        <f>'Vaal-Orange CMA'!C69</f>
        <v>131665744.39347917</v>
      </c>
      <c r="D6" s="5">
        <f>'Vaal-Orange CMA'!D69</f>
        <v>131665744.39347917</v>
      </c>
      <c r="E6" s="5">
        <f>'Vaal-Orange CMA'!E69</f>
        <v>131665744.39347917</v>
      </c>
      <c r="F6" s="5">
        <f>'Vaal-Orange CMA'!F69</f>
        <v>131665744.39347917</v>
      </c>
      <c r="G6" s="5">
        <f>'Vaal-Orange CMA'!G69</f>
        <v>131665744.39347917</v>
      </c>
      <c r="H6" s="5">
        <f>'Vaal-Orange CMA'!H69</f>
        <v>131665744.39347917</v>
      </c>
      <c r="I6" s="5">
        <f>'Vaal-Orange CMA'!I69</f>
        <v>131665744.39347917</v>
      </c>
      <c r="J6" s="5">
        <f>'Vaal-Orange CMA'!J69</f>
        <v>131665744.39347917</v>
      </c>
      <c r="K6" s="5">
        <f>'Vaal-Orange CMA'!K69</f>
        <v>131665744.39347917</v>
      </c>
      <c r="L6" s="14">
        <f t="shared" si="1"/>
        <v>131665744.39347914</v>
      </c>
    </row>
    <row r="7" spans="1:12" x14ac:dyDescent="0.25">
      <c r="A7" t="s">
        <v>32</v>
      </c>
      <c r="B7" s="5">
        <f>'Mzimvubu-Tsitsikamma CMA'!B69</f>
        <v>30749271.349494021</v>
      </c>
      <c r="C7" s="5">
        <f>'Mzimvubu-Tsitsikamma CMA'!C69</f>
        <v>30749271.349494021</v>
      </c>
      <c r="D7" s="5">
        <f>'Mzimvubu-Tsitsikamma CMA'!D69</f>
        <v>30749271.349494021</v>
      </c>
      <c r="E7" s="5">
        <f>'Mzimvubu-Tsitsikamma CMA'!E69</f>
        <v>30749271.349494021</v>
      </c>
      <c r="F7" s="5">
        <f>'Mzimvubu-Tsitsikamma CMA'!F69</f>
        <v>30749271.349494021</v>
      </c>
      <c r="G7" s="5">
        <f>'Mzimvubu-Tsitsikamma CMA'!G69</f>
        <v>30749271.349494021</v>
      </c>
      <c r="H7" s="5">
        <f>'Mzimvubu-Tsitsikamma CMA'!H69</f>
        <v>30749271.349494021</v>
      </c>
      <c r="I7" s="5">
        <f>'Mzimvubu-Tsitsikamma CMA'!I69</f>
        <v>30749271.349494021</v>
      </c>
      <c r="J7" s="5">
        <f>'Mzimvubu-Tsitsikamma CMA'!J69</f>
        <v>30749271.349494021</v>
      </c>
      <c r="K7" s="5">
        <f>'Mzimvubu-Tsitsikamma CMA'!K69</f>
        <v>30749271.349494021</v>
      </c>
      <c r="L7" s="14">
        <f t="shared" si="1"/>
        <v>30749271.349494021</v>
      </c>
    </row>
    <row r="8" spans="1:12" x14ac:dyDescent="0.25">
      <c r="A8" t="s">
        <v>34</v>
      </c>
      <c r="B8" s="5">
        <f>'Breede-Olifants CMA'!B69</f>
        <v>45706019.393286847</v>
      </c>
      <c r="C8" s="5">
        <f>'Breede-Olifants CMA'!C69</f>
        <v>45706019.393286847</v>
      </c>
      <c r="D8" s="5">
        <f>'Breede-Olifants CMA'!D69</f>
        <v>45706019.393286847</v>
      </c>
      <c r="E8" s="5">
        <f>'Breede-Olifants CMA'!E69</f>
        <v>45706019.393286847</v>
      </c>
      <c r="F8" s="5">
        <f>'Breede-Olifants CMA'!F69</f>
        <v>45706019.393286847</v>
      </c>
      <c r="G8" s="5">
        <f>'Breede-Olifants CMA'!G69</f>
        <v>45706019.393286847</v>
      </c>
      <c r="H8" s="5">
        <f>'Breede-Olifants CMA'!H69</f>
        <v>45706019.393286847</v>
      </c>
      <c r="I8" s="5">
        <f>'Breede-Olifants CMA'!I69</f>
        <v>45706019.393286847</v>
      </c>
      <c r="J8" s="5">
        <f>'Breede-Olifants CMA'!J69</f>
        <v>45706019.393286847</v>
      </c>
      <c r="K8" s="5">
        <f>'Breede-Olifants CMA'!K69</f>
        <v>45706019.393286847</v>
      </c>
      <c r="L8" s="14">
        <f t="shared" si="1"/>
        <v>45706019.393286839</v>
      </c>
    </row>
    <row r="9" spans="1:12" x14ac:dyDescent="0.25">
      <c r="L9" s="14"/>
    </row>
    <row r="10" spans="1:12" x14ac:dyDescent="0.25">
      <c r="A10" s="1" t="s">
        <v>44</v>
      </c>
      <c r="B10" s="12" t="str">
        <f>'Summary dashboard'!C4</f>
        <v>2023</v>
      </c>
      <c r="C10" s="12">
        <f>B10+1</f>
        <v>2024</v>
      </c>
      <c r="D10" s="12">
        <f t="shared" ref="D10:K10" si="2">C10+1</f>
        <v>2025</v>
      </c>
      <c r="E10" s="12">
        <f t="shared" si="2"/>
        <v>2026</v>
      </c>
      <c r="F10" s="12">
        <f t="shared" si="2"/>
        <v>2027</v>
      </c>
      <c r="G10" s="12">
        <f t="shared" si="2"/>
        <v>2028</v>
      </c>
      <c r="H10" s="12">
        <f t="shared" si="2"/>
        <v>2029</v>
      </c>
      <c r="I10" s="12">
        <f t="shared" si="2"/>
        <v>2030</v>
      </c>
      <c r="J10" s="12">
        <f t="shared" si="2"/>
        <v>2031</v>
      </c>
      <c r="K10" s="12">
        <f t="shared" si="2"/>
        <v>2032</v>
      </c>
      <c r="L10" s="1" t="s">
        <v>28</v>
      </c>
    </row>
    <row r="11" spans="1:12" x14ac:dyDescent="0.25">
      <c r="A11" t="s">
        <v>42</v>
      </c>
      <c r="B11" s="5">
        <f>'Limpopo-Olifants CMA'!B84</f>
        <v>33180373.162366934</v>
      </c>
      <c r="C11" s="5">
        <f>'Limpopo-Olifants CMA'!C84</f>
        <v>33180373.162366934</v>
      </c>
      <c r="D11" s="5">
        <f>'Limpopo-Olifants CMA'!D84</f>
        <v>33180373.162366934</v>
      </c>
      <c r="E11" s="5">
        <f>'Limpopo-Olifants CMA'!E84</f>
        <v>33180373.162366934</v>
      </c>
      <c r="F11" s="5">
        <f>'Limpopo-Olifants CMA'!F84</f>
        <v>33180373.162366934</v>
      </c>
      <c r="G11" s="5">
        <f>'Limpopo-Olifants CMA'!G84</f>
        <v>33180373.162366934</v>
      </c>
      <c r="H11" s="5">
        <f>'Limpopo-Olifants CMA'!H84</f>
        <v>33180373.162366934</v>
      </c>
      <c r="I11" s="5">
        <f>'Limpopo-Olifants CMA'!I84</f>
        <v>33180373.162366934</v>
      </c>
      <c r="J11" s="5">
        <f>'Limpopo-Olifants CMA'!J84</f>
        <v>33180373.162366934</v>
      </c>
      <c r="K11" s="5">
        <f>'Limpopo-Olifants CMA'!K84</f>
        <v>33180373.162366934</v>
      </c>
      <c r="L11" s="14">
        <f t="shared" si="1"/>
        <v>33180373.162366934</v>
      </c>
    </row>
    <row r="12" spans="1:12" x14ac:dyDescent="0.25">
      <c r="A12" t="s">
        <v>31</v>
      </c>
      <c r="B12" s="5">
        <f>'Inkomati-Pongola CMA'!B84</f>
        <v>20245226.485526897</v>
      </c>
      <c r="C12" s="5">
        <f>'Inkomati-Pongola CMA'!C84</f>
        <v>20245226.485526897</v>
      </c>
      <c r="D12" s="5">
        <f>'Inkomati-Pongola CMA'!D84</f>
        <v>20245226.485526897</v>
      </c>
      <c r="E12" s="5">
        <f>'Inkomati-Pongola CMA'!E84</f>
        <v>20245226.485526897</v>
      </c>
      <c r="F12" s="5">
        <f>'Inkomati-Pongola CMA'!F84</f>
        <v>20245226.485526897</v>
      </c>
      <c r="G12" s="5">
        <f>'Inkomati-Pongola CMA'!G84</f>
        <v>20245226.485526897</v>
      </c>
      <c r="H12" s="5">
        <f>'Inkomati-Pongola CMA'!H84</f>
        <v>20245226.485526897</v>
      </c>
      <c r="I12" s="5">
        <f>'Inkomati-Pongola CMA'!I84</f>
        <v>20245226.485526897</v>
      </c>
      <c r="J12" s="5">
        <f>'Inkomati-Pongola CMA'!J84</f>
        <v>20245226.485526897</v>
      </c>
      <c r="K12" s="5">
        <f>'Inkomati-Pongola CMA'!K84</f>
        <v>20245226.485526897</v>
      </c>
      <c r="L12" s="14">
        <f t="shared" si="1"/>
        <v>20245226.485526893</v>
      </c>
    </row>
    <row r="13" spans="1:12" x14ac:dyDescent="0.25">
      <c r="A13" t="s">
        <v>50</v>
      </c>
      <c r="B13" s="5">
        <f>'Mkuze-Mtamvuna CMA'!B84</f>
        <v>24002023.548039492</v>
      </c>
      <c r="C13" s="5">
        <f>'Mkuze-Mtamvuna CMA'!C84</f>
        <v>24002023.548039492</v>
      </c>
      <c r="D13" s="5">
        <f>'Mkuze-Mtamvuna CMA'!D84</f>
        <v>24002023.548039492</v>
      </c>
      <c r="E13" s="5">
        <f>'Mkuze-Mtamvuna CMA'!E84</f>
        <v>24002023.548039492</v>
      </c>
      <c r="F13" s="5">
        <f>'Mkuze-Mtamvuna CMA'!F84</f>
        <v>24002023.548039492</v>
      </c>
      <c r="G13" s="5">
        <f>'Mkuze-Mtamvuna CMA'!G84</f>
        <v>24002023.548039492</v>
      </c>
      <c r="H13" s="5">
        <f>'Mkuze-Mtamvuna CMA'!H84</f>
        <v>24002023.548039492</v>
      </c>
      <c r="I13" s="5">
        <f>'Mkuze-Mtamvuna CMA'!I84</f>
        <v>24002023.548039492</v>
      </c>
      <c r="J13" s="5">
        <f>'Mkuze-Mtamvuna CMA'!J84</f>
        <v>24002023.548039492</v>
      </c>
      <c r="K13" s="5">
        <f>'Mkuze-Mtamvuna CMA'!K84</f>
        <v>24002023.548039492</v>
      </c>
      <c r="L13" s="14">
        <f t="shared" si="1"/>
        <v>24002023.548039492</v>
      </c>
    </row>
    <row r="14" spans="1:12" x14ac:dyDescent="0.25">
      <c r="A14" t="s">
        <v>33</v>
      </c>
      <c r="B14" s="5">
        <f>'Vaal-Orange CMA'!B84</f>
        <v>76907752.109692663</v>
      </c>
      <c r="C14" s="5">
        <f>'Vaal-Orange CMA'!C84</f>
        <v>76907752.109692663</v>
      </c>
      <c r="D14" s="5">
        <f>'Vaal-Orange CMA'!D84</f>
        <v>76907752.109692663</v>
      </c>
      <c r="E14" s="5">
        <f>'Vaal-Orange CMA'!E84</f>
        <v>76907752.109692663</v>
      </c>
      <c r="F14" s="5">
        <f>'Vaal-Orange CMA'!F84</f>
        <v>76907752.109692663</v>
      </c>
      <c r="G14" s="5">
        <f>'Vaal-Orange CMA'!G84</f>
        <v>76907752.109692663</v>
      </c>
      <c r="H14" s="5">
        <f>'Vaal-Orange CMA'!H84</f>
        <v>76907752.109692663</v>
      </c>
      <c r="I14" s="5">
        <f>'Vaal-Orange CMA'!I84</f>
        <v>76907752.109692663</v>
      </c>
      <c r="J14" s="5">
        <f>'Vaal-Orange CMA'!J84</f>
        <v>76907752.109692663</v>
      </c>
      <c r="K14" s="5">
        <f>'Vaal-Orange CMA'!K84</f>
        <v>76907752.109692663</v>
      </c>
      <c r="L14" s="14">
        <f t="shared" si="1"/>
        <v>76907752.109692678</v>
      </c>
    </row>
    <row r="15" spans="1:12" x14ac:dyDescent="0.25">
      <c r="A15" t="s">
        <v>32</v>
      </c>
      <c r="B15" s="5">
        <f>'Mzimvubu-Tsitsikamma CMA'!B84</f>
        <v>18009389.122960139</v>
      </c>
      <c r="C15" s="5">
        <f>'Mzimvubu-Tsitsikamma CMA'!C84</f>
        <v>18009389.122960139</v>
      </c>
      <c r="D15" s="5">
        <f>'Mzimvubu-Tsitsikamma CMA'!D84</f>
        <v>18009389.122960139</v>
      </c>
      <c r="E15" s="5">
        <f>'Mzimvubu-Tsitsikamma CMA'!E84</f>
        <v>18009389.122960139</v>
      </c>
      <c r="F15" s="5">
        <f>'Mzimvubu-Tsitsikamma CMA'!F84</f>
        <v>18009389.122960139</v>
      </c>
      <c r="G15" s="5">
        <f>'Mzimvubu-Tsitsikamma CMA'!G84</f>
        <v>18009389.122960139</v>
      </c>
      <c r="H15" s="5">
        <f>'Mzimvubu-Tsitsikamma CMA'!H84</f>
        <v>18009389.122960139</v>
      </c>
      <c r="I15" s="5">
        <f>'Mzimvubu-Tsitsikamma CMA'!I84</f>
        <v>18009389.122960139</v>
      </c>
      <c r="J15" s="5">
        <f>'Mzimvubu-Tsitsikamma CMA'!J84</f>
        <v>18009389.122960139</v>
      </c>
      <c r="K15" s="5">
        <f>'Mzimvubu-Tsitsikamma CMA'!K84</f>
        <v>18009389.122960139</v>
      </c>
      <c r="L15" s="14">
        <f t="shared" si="1"/>
        <v>18009389.122960143</v>
      </c>
    </row>
    <row r="16" spans="1:12" x14ac:dyDescent="0.25">
      <c r="A16" t="s">
        <v>34</v>
      </c>
      <c r="B16" s="5">
        <f>'Breede-Olifants CMA'!B84</f>
        <v>26406245.650784153</v>
      </c>
      <c r="C16" s="5">
        <f>'Breede-Olifants CMA'!C84</f>
        <v>26406245.650784153</v>
      </c>
      <c r="D16" s="5">
        <f>'Breede-Olifants CMA'!D84</f>
        <v>26406245.650784153</v>
      </c>
      <c r="E16" s="5">
        <f>'Breede-Olifants CMA'!E84</f>
        <v>26406245.650784153</v>
      </c>
      <c r="F16" s="5">
        <f>'Breede-Olifants CMA'!F84</f>
        <v>26406245.650784153</v>
      </c>
      <c r="G16" s="5">
        <f>'Breede-Olifants CMA'!G84</f>
        <v>26406245.650784153</v>
      </c>
      <c r="H16" s="5">
        <f>'Breede-Olifants CMA'!H84</f>
        <v>26406245.650784153</v>
      </c>
      <c r="I16" s="5">
        <f>'Breede-Olifants CMA'!I84</f>
        <v>26406245.650784153</v>
      </c>
      <c r="J16" s="5">
        <f>'Breede-Olifants CMA'!J84</f>
        <v>26406245.650784153</v>
      </c>
      <c r="K16" s="5">
        <f>'Breede-Olifants CMA'!K84</f>
        <v>26406245.650784153</v>
      </c>
      <c r="L16" s="14">
        <f t="shared" si="1"/>
        <v>26406245.650784157</v>
      </c>
    </row>
    <row r="17" spans="1:15" x14ac:dyDescent="0.25">
      <c r="L17" s="14"/>
    </row>
    <row r="18" spans="1:15" ht="30" x14ac:dyDescent="0.25">
      <c r="A18" s="1" t="s">
        <v>45</v>
      </c>
      <c r="B18" s="12" t="str">
        <f>'Summary dashboard'!C4</f>
        <v>2023</v>
      </c>
      <c r="C18" s="12">
        <f>B18+1</f>
        <v>2024</v>
      </c>
      <c r="D18" s="12">
        <f t="shared" ref="D18:K18" si="3">C18+1</f>
        <v>2025</v>
      </c>
      <c r="E18" s="12">
        <f t="shared" si="3"/>
        <v>2026</v>
      </c>
      <c r="F18" s="12">
        <f t="shared" si="3"/>
        <v>2027</v>
      </c>
      <c r="G18" s="12">
        <f t="shared" si="3"/>
        <v>2028</v>
      </c>
      <c r="H18" s="12">
        <f t="shared" si="3"/>
        <v>2029</v>
      </c>
      <c r="I18" s="12">
        <f t="shared" si="3"/>
        <v>2030</v>
      </c>
      <c r="J18" s="12">
        <f t="shared" si="3"/>
        <v>2031</v>
      </c>
      <c r="K18" s="12">
        <f t="shared" si="3"/>
        <v>2032</v>
      </c>
      <c r="L18" s="1" t="s">
        <v>28</v>
      </c>
      <c r="N18" s="15" t="s">
        <v>46</v>
      </c>
      <c r="O18" s="15" t="s">
        <v>47</v>
      </c>
    </row>
    <row r="19" spans="1:15" x14ac:dyDescent="0.25">
      <c r="A19" t="s">
        <v>42</v>
      </c>
      <c r="B19" s="5">
        <f>(B3+B11)/2</f>
        <v>45132901.989584699</v>
      </c>
      <c r="C19" s="5">
        <f t="shared" ref="C19:K19" si="4">(C3+C11)/2</f>
        <v>45132901.989584699</v>
      </c>
      <c r="D19" s="5">
        <f t="shared" si="4"/>
        <v>45132901.989584699</v>
      </c>
      <c r="E19" s="5">
        <f t="shared" si="4"/>
        <v>45132901.989584699</v>
      </c>
      <c r="F19" s="5">
        <f t="shared" si="4"/>
        <v>45132901.989584699</v>
      </c>
      <c r="G19" s="5">
        <f t="shared" si="4"/>
        <v>45132901.989584699</v>
      </c>
      <c r="H19" s="5">
        <f t="shared" si="4"/>
        <v>45132901.989584699</v>
      </c>
      <c r="I19" s="5">
        <f t="shared" si="4"/>
        <v>45132901.989584699</v>
      </c>
      <c r="J19" s="5">
        <f t="shared" si="4"/>
        <v>45132901.989584699</v>
      </c>
      <c r="K19" s="5">
        <f t="shared" si="4"/>
        <v>45132901.989584699</v>
      </c>
      <c r="L19" s="14">
        <f t="shared" si="1"/>
        <v>45132901.989584692</v>
      </c>
      <c r="N19" s="14">
        <f>INDEX($B$3:$K$8,MATCH($A19,$A$3:$A$8,0),MATCH('Summary dashboard'!$B$16,$B$2:$K$2,0))-INDEX($B$19:$K$24,MATCH($A19,$A$19:$A$24,0),MATCH('Summary dashboard'!$B$16,$B$2:$K$2,0))</f>
        <v>11952528.827217765</v>
      </c>
      <c r="O19" s="14">
        <f>-(INDEX($B$11:$K$16,MATCH($A19,$A$11:$A$16,0),MATCH('Summary dashboard'!$B$16,$B$2:$K$2,0))-INDEX($B$19:$K$24,MATCH($A19,$A$19:$A$24,0),MATCH('Summary dashboard'!$B$16,$B$2:$K$2,0)))</f>
        <v>11952528.827217765</v>
      </c>
    </row>
    <row r="20" spans="1:15" x14ac:dyDescent="0.25">
      <c r="A20" t="s">
        <v>31</v>
      </c>
      <c r="B20" s="5">
        <f t="shared" ref="B20:K20" si="5">(B4+B12)/2</f>
        <v>27659462.481481463</v>
      </c>
      <c r="C20" s="5">
        <f t="shared" si="5"/>
        <v>27659462.481481463</v>
      </c>
      <c r="D20" s="5">
        <f t="shared" si="5"/>
        <v>27659462.481481463</v>
      </c>
      <c r="E20" s="5">
        <f t="shared" si="5"/>
        <v>27659462.481481463</v>
      </c>
      <c r="F20" s="5">
        <f t="shared" si="5"/>
        <v>27659462.481481463</v>
      </c>
      <c r="G20" s="5">
        <f t="shared" si="5"/>
        <v>27659462.481481463</v>
      </c>
      <c r="H20" s="5">
        <f t="shared" si="5"/>
        <v>27659462.481481463</v>
      </c>
      <c r="I20" s="5">
        <f t="shared" si="5"/>
        <v>27659462.481481463</v>
      </c>
      <c r="J20" s="5">
        <f t="shared" si="5"/>
        <v>27659462.481481463</v>
      </c>
      <c r="K20" s="5">
        <f t="shared" si="5"/>
        <v>27659462.481481463</v>
      </c>
      <c r="L20" s="14">
        <f t="shared" si="1"/>
        <v>27659462.481481463</v>
      </c>
      <c r="N20" s="14">
        <f>INDEX($B$3:$K$8,MATCH($A20,$A$3:$A$8,0),MATCH('Summary dashboard'!$B$16,$B$2:$K$2,0))-INDEX($B$19:$K$24,MATCH($A20,$A$19:$A$24,0),MATCH('Summary dashboard'!$B$16,$B$2:$K$2,0))</f>
        <v>7414235.9959545657</v>
      </c>
      <c r="O20" s="14">
        <f>-(INDEX($B$11:$K$16,MATCH($A20,$A$11:$A$16,0),MATCH('Summary dashboard'!$B$16,$B$2:$K$2,0))-INDEX($B$19:$K$24,MATCH($A20,$A$19:$A$24,0),MATCH('Summary dashboard'!$B$16,$B$2:$K$2,0)))</f>
        <v>7414235.9959545657</v>
      </c>
    </row>
    <row r="21" spans="1:15" x14ac:dyDescent="0.25">
      <c r="A21" t="s">
        <v>50</v>
      </c>
      <c r="B21" s="5">
        <f t="shared" ref="B21:K21" si="6">(B5+B13)/2</f>
        <v>32737470.530241832</v>
      </c>
      <c r="C21" s="5">
        <f t="shared" si="6"/>
        <v>32737470.530241832</v>
      </c>
      <c r="D21" s="5">
        <f t="shared" si="6"/>
        <v>32737470.530241832</v>
      </c>
      <c r="E21" s="5">
        <f t="shared" si="6"/>
        <v>32737470.530241832</v>
      </c>
      <c r="F21" s="5">
        <f t="shared" si="6"/>
        <v>32737470.530241832</v>
      </c>
      <c r="G21" s="5">
        <f t="shared" si="6"/>
        <v>32737470.530241832</v>
      </c>
      <c r="H21" s="5">
        <f t="shared" si="6"/>
        <v>32737470.530241832</v>
      </c>
      <c r="I21" s="5">
        <f t="shared" si="6"/>
        <v>32737470.530241832</v>
      </c>
      <c r="J21" s="5">
        <f t="shared" si="6"/>
        <v>32737470.530241832</v>
      </c>
      <c r="K21" s="5">
        <f t="shared" si="6"/>
        <v>32737470.530241832</v>
      </c>
      <c r="L21" s="14">
        <f t="shared" si="1"/>
        <v>32737470.53024184</v>
      </c>
      <c r="N21" s="14">
        <f>INDEX($B$3:$K$8,MATCH($A21,$A$3:$A$8,0),MATCH('Summary dashboard'!$B$16,$B$2:$K$2,0))-INDEX($B$19:$K$24,MATCH($A21,$A$19:$A$24,0),MATCH('Summary dashboard'!$B$16,$B$2:$K$2,0))</f>
        <v>8735446.9822023436</v>
      </c>
      <c r="O21" s="14">
        <f>-(INDEX($B$11:$K$16,MATCH($A21,$A$11:$A$16,0),MATCH('Summary dashboard'!$B$16,$B$2:$K$2,0))-INDEX($B$19:$K$24,MATCH($A21,$A$19:$A$24,0),MATCH('Summary dashboard'!$B$16,$B$2:$K$2,0)))</f>
        <v>8735446.9822023399</v>
      </c>
    </row>
    <row r="22" spans="1:15" x14ac:dyDescent="0.25">
      <c r="A22" t="s">
        <v>33</v>
      </c>
      <c r="B22" s="5">
        <f t="shared" ref="B22:K22" si="7">(B6+B14)/2</f>
        <v>104286748.25158592</v>
      </c>
      <c r="C22" s="5">
        <f t="shared" si="7"/>
        <v>104286748.25158592</v>
      </c>
      <c r="D22" s="5">
        <f t="shared" si="7"/>
        <v>104286748.25158592</v>
      </c>
      <c r="E22" s="5">
        <f t="shared" si="7"/>
        <v>104286748.25158592</v>
      </c>
      <c r="F22" s="5">
        <f t="shared" si="7"/>
        <v>104286748.25158592</v>
      </c>
      <c r="G22" s="5">
        <f t="shared" si="7"/>
        <v>104286748.25158592</v>
      </c>
      <c r="H22" s="5">
        <f t="shared" si="7"/>
        <v>104286748.25158592</v>
      </c>
      <c r="I22" s="5">
        <f t="shared" si="7"/>
        <v>104286748.25158592</v>
      </c>
      <c r="J22" s="5">
        <f t="shared" si="7"/>
        <v>104286748.25158592</v>
      </c>
      <c r="K22" s="5">
        <f t="shared" si="7"/>
        <v>104286748.25158592</v>
      </c>
      <c r="L22" s="14">
        <f t="shared" si="1"/>
        <v>104286748.25158593</v>
      </c>
      <c r="N22" s="14">
        <f>INDEX($B$3:$K$8,MATCH($A22,$A$3:$A$8,0),MATCH('Summary dashboard'!$B$16,$B$2:$K$2,0))-INDEX($B$19:$K$24,MATCH($A22,$A$19:$A$24,0),MATCH('Summary dashboard'!$B$16,$B$2:$K$2,0))</f>
        <v>27378996.141893253</v>
      </c>
      <c r="O22" s="14">
        <f>-(INDEX($B$11:$K$16,MATCH($A22,$A$11:$A$16,0),MATCH('Summary dashboard'!$B$16,$B$2:$K$2,0))-INDEX($B$19:$K$24,MATCH($A22,$A$19:$A$24,0),MATCH('Summary dashboard'!$B$16,$B$2:$K$2,0)))</f>
        <v>27378996.141893253</v>
      </c>
    </row>
    <row r="23" spans="1:15" x14ac:dyDescent="0.25">
      <c r="A23" t="s">
        <v>32</v>
      </c>
      <c r="B23" s="5">
        <f t="shared" ref="B23:K23" si="8">(B7+B15)/2</f>
        <v>24379330.23622708</v>
      </c>
      <c r="C23" s="5">
        <f t="shared" si="8"/>
        <v>24379330.23622708</v>
      </c>
      <c r="D23" s="5">
        <f t="shared" si="8"/>
        <v>24379330.23622708</v>
      </c>
      <c r="E23" s="5">
        <f t="shared" si="8"/>
        <v>24379330.23622708</v>
      </c>
      <c r="F23" s="5">
        <f t="shared" si="8"/>
        <v>24379330.23622708</v>
      </c>
      <c r="G23" s="5">
        <f t="shared" si="8"/>
        <v>24379330.23622708</v>
      </c>
      <c r="H23" s="5">
        <f t="shared" si="8"/>
        <v>24379330.23622708</v>
      </c>
      <c r="I23" s="5">
        <f t="shared" si="8"/>
        <v>24379330.23622708</v>
      </c>
      <c r="J23" s="5">
        <f t="shared" si="8"/>
        <v>24379330.23622708</v>
      </c>
      <c r="K23" s="5">
        <f t="shared" si="8"/>
        <v>24379330.23622708</v>
      </c>
      <c r="L23" s="14">
        <f t="shared" si="1"/>
        <v>24379330.236227084</v>
      </c>
      <c r="N23" s="14">
        <f>INDEX($B$3:$K$8,MATCH($A23,$A$3:$A$8,0),MATCH('Summary dashboard'!$B$16,$B$2:$K$2,0))-INDEX($B$19:$K$24,MATCH($A23,$A$19:$A$24,0),MATCH('Summary dashboard'!$B$16,$B$2:$K$2,0))</f>
        <v>6369941.1132669412</v>
      </c>
      <c r="O23" s="14">
        <f>-(INDEX($B$11:$K$16,MATCH($A23,$A$11:$A$16,0),MATCH('Summary dashboard'!$B$16,$B$2:$K$2,0))-INDEX($B$19:$K$24,MATCH($A23,$A$19:$A$24,0),MATCH('Summary dashboard'!$B$16,$B$2:$K$2,0)))</f>
        <v>6369941.1132669412</v>
      </c>
    </row>
    <row r="24" spans="1:15" x14ac:dyDescent="0.25">
      <c r="A24" t="s">
        <v>34</v>
      </c>
      <c r="B24" s="5">
        <f t="shared" ref="B24:K24" si="9">(B8+B16)/2</f>
        <v>36056132.522035502</v>
      </c>
      <c r="C24" s="5">
        <f t="shared" si="9"/>
        <v>36056132.522035502</v>
      </c>
      <c r="D24" s="5">
        <f t="shared" si="9"/>
        <v>36056132.522035502</v>
      </c>
      <c r="E24" s="5">
        <f t="shared" si="9"/>
        <v>36056132.522035502</v>
      </c>
      <c r="F24" s="5">
        <f t="shared" si="9"/>
        <v>36056132.522035502</v>
      </c>
      <c r="G24" s="5">
        <f t="shared" si="9"/>
        <v>36056132.522035502</v>
      </c>
      <c r="H24" s="5">
        <f t="shared" si="9"/>
        <v>36056132.522035502</v>
      </c>
      <c r="I24" s="5">
        <f t="shared" si="9"/>
        <v>36056132.522035502</v>
      </c>
      <c r="J24" s="5">
        <f t="shared" si="9"/>
        <v>36056132.522035502</v>
      </c>
      <c r="K24" s="5">
        <f t="shared" si="9"/>
        <v>36056132.522035502</v>
      </c>
      <c r="L24" s="14">
        <f t="shared" si="1"/>
        <v>36056132.522035494</v>
      </c>
      <c r="N24" s="14">
        <f>INDEX($B$3:$K$8,MATCH($A24,$A$3:$A$8,0),MATCH('Summary dashboard'!$B$16,$B$2:$K$2,0))-INDEX($B$19:$K$24,MATCH($A24,$A$19:$A$24,0),MATCH('Summary dashboard'!$B$16,$B$2:$K$2,0))</f>
        <v>9649886.8712513447</v>
      </c>
      <c r="O24" s="14">
        <f>-(INDEX($B$11:$K$16,MATCH($A24,$A$11:$A$16,0),MATCH('Summary dashboard'!$B$16,$B$2:$K$2,0))-INDEX($B$19:$K$24,MATCH($A24,$A$19:$A$24,0),MATCH('Summary dashboard'!$B$16,$B$2:$K$2,0)))</f>
        <v>9649886.8712513484</v>
      </c>
    </row>
    <row r="25" spans="1:15" x14ac:dyDescent="0.25">
      <c r="L25" s="14">
        <f>SUM(L19:L24)</f>
        <v>270252046.0111565</v>
      </c>
    </row>
    <row r="26" spans="1:15" s="3" customFormat="1" x14ac:dyDescent="0.25">
      <c r="A26" s="2" t="s">
        <v>80</v>
      </c>
    </row>
    <row r="27" spans="1:15" s="1" customFormat="1" ht="30" x14ac:dyDescent="0.25">
      <c r="A27" s="15" t="s">
        <v>56</v>
      </c>
      <c r="B27" s="12" t="str">
        <f>'Summary dashboard'!C4</f>
        <v>2023</v>
      </c>
      <c r="C27" s="12">
        <f t="shared" ref="C27:K27" si="10">B27+1</f>
        <v>2024</v>
      </c>
      <c r="D27" s="12">
        <f t="shared" si="10"/>
        <v>2025</v>
      </c>
      <c r="E27" s="12">
        <f t="shared" si="10"/>
        <v>2026</v>
      </c>
      <c r="F27" s="12">
        <f t="shared" si="10"/>
        <v>2027</v>
      </c>
      <c r="G27" s="12">
        <f t="shared" si="10"/>
        <v>2028</v>
      </c>
      <c r="H27" s="12">
        <f t="shared" si="10"/>
        <v>2029</v>
      </c>
      <c r="I27" s="12">
        <f t="shared" si="10"/>
        <v>2030</v>
      </c>
      <c r="J27" s="12">
        <f t="shared" si="10"/>
        <v>2031</v>
      </c>
      <c r="K27" s="12">
        <f t="shared" si="10"/>
        <v>2032</v>
      </c>
      <c r="L27" s="1" t="s">
        <v>28</v>
      </c>
    </row>
    <row r="28" spans="1:15" x14ac:dyDescent="0.25">
      <c r="A28" s="4" t="s">
        <v>35</v>
      </c>
      <c r="B28" s="5">
        <f>'Limpopo-Olifants CMA'!B58+'Inkomati-Pongola CMA'!B58+'Mkuze-Mtamvuna CMA'!B58+'Vaal-Orange CMA'!B58+'Mzimvubu-Tsitsikamma CMA'!B58+'Breede-Olifants CMA'!B58</f>
        <v>53348035.295710534</v>
      </c>
      <c r="C28" s="5">
        <f>'Limpopo-Olifants CMA'!C58+'Inkomati-Pongola CMA'!C58+'Mkuze-Mtamvuna CMA'!C58+'Vaal-Orange CMA'!C58+'Mzimvubu-Tsitsikamma CMA'!C58+'Breede-Olifants CMA'!C58</f>
        <v>53348035.295710534</v>
      </c>
      <c r="D28" s="5">
        <f>'Limpopo-Olifants CMA'!D58+'Inkomati-Pongola CMA'!D58+'Mkuze-Mtamvuna CMA'!D58+'Vaal-Orange CMA'!D58+'Mzimvubu-Tsitsikamma CMA'!D58+'Breede-Olifants CMA'!D58</f>
        <v>53348035.295710534</v>
      </c>
      <c r="E28" s="5">
        <f>'Limpopo-Olifants CMA'!E58+'Inkomati-Pongola CMA'!E58+'Mkuze-Mtamvuna CMA'!E58+'Vaal-Orange CMA'!E58+'Mzimvubu-Tsitsikamma CMA'!E58+'Breede-Olifants CMA'!E58</f>
        <v>53348035.295710534</v>
      </c>
      <c r="F28" s="5">
        <f>'Limpopo-Olifants CMA'!F58+'Inkomati-Pongola CMA'!F58+'Mkuze-Mtamvuna CMA'!F58+'Vaal-Orange CMA'!F58+'Mzimvubu-Tsitsikamma CMA'!F58+'Breede-Olifants CMA'!F58</f>
        <v>53348035.295710534</v>
      </c>
      <c r="G28" s="5">
        <f>'Limpopo-Olifants CMA'!G58+'Inkomati-Pongola CMA'!G58+'Mkuze-Mtamvuna CMA'!G58+'Vaal-Orange CMA'!G58+'Mzimvubu-Tsitsikamma CMA'!G58+'Breede-Olifants CMA'!G58</f>
        <v>53348035.295710534</v>
      </c>
      <c r="H28" s="5">
        <f>'Limpopo-Olifants CMA'!H58+'Inkomati-Pongola CMA'!H58+'Mkuze-Mtamvuna CMA'!H58+'Vaal-Orange CMA'!H58+'Mzimvubu-Tsitsikamma CMA'!H58+'Breede-Olifants CMA'!H58</f>
        <v>53348035.295710534</v>
      </c>
      <c r="I28" s="5">
        <f>'Limpopo-Olifants CMA'!I58+'Inkomati-Pongola CMA'!I58+'Mkuze-Mtamvuna CMA'!I58+'Vaal-Orange CMA'!I58+'Mzimvubu-Tsitsikamma CMA'!I58+'Breede-Olifants CMA'!I58</f>
        <v>53348035.295710534</v>
      </c>
      <c r="J28" s="5">
        <f>'Limpopo-Olifants CMA'!J58+'Inkomati-Pongola CMA'!J58+'Mkuze-Mtamvuna CMA'!J58+'Vaal-Orange CMA'!J58+'Mzimvubu-Tsitsikamma CMA'!J58+'Breede-Olifants CMA'!J58</f>
        <v>53348035.295710534</v>
      </c>
      <c r="K28" s="5">
        <f>'Limpopo-Olifants CMA'!K58+'Inkomati-Pongola CMA'!K58+'Mkuze-Mtamvuna CMA'!K58+'Vaal-Orange CMA'!K58+'Mzimvubu-Tsitsikamma CMA'!K58+'Breede-Olifants CMA'!K58</f>
        <v>53348035.295710534</v>
      </c>
      <c r="L28" s="5">
        <f t="shared" ref="L28:L38" si="11">AVERAGE(B28:K28)</f>
        <v>53348035.295710541</v>
      </c>
    </row>
    <row r="29" spans="1:15" x14ac:dyDescent="0.25">
      <c r="A29" s="4" t="s">
        <v>36</v>
      </c>
      <c r="B29" s="5">
        <f>'Limpopo-Olifants CMA'!B59+'Inkomati-Pongola CMA'!B59+'Mkuze-Mtamvuna CMA'!B59+'Vaal-Orange CMA'!B59+'Mzimvubu-Tsitsikamma CMA'!B59+'Breede-Olifants CMA'!B59</f>
        <v>11393964.259901574</v>
      </c>
      <c r="C29" s="5">
        <f>'Limpopo-Olifants CMA'!C59+'Inkomati-Pongola CMA'!C59+'Mkuze-Mtamvuna CMA'!C59+'Vaal-Orange CMA'!C59+'Mzimvubu-Tsitsikamma CMA'!C59+'Breede-Olifants CMA'!C59</f>
        <v>11393964.259901574</v>
      </c>
      <c r="D29" s="5">
        <f>'Limpopo-Olifants CMA'!D59+'Inkomati-Pongola CMA'!D59+'Mkuze-Mtamvuna CMA'!D59+'Vaal-Orange CMA'!D59+'Mzimvubu-Tsitsikamma CMA'!D59+'Breede-Olifants CMA'!D59</f>
        <v>11393964.259901574</v>
      </c>
      <c r="E29" s="5">
        <f>'Limpopo-Olifants CMA'!E59+'Inkomati-Pongola CMA'!E59+'Mkuze-Mtamvuna CMA'!E59+'Vaal-Orange CMA'!E59+'Mzimvubu-Tsitsikamma CMA'!E59+'Breede-Olifants CMA'!E59</f>
        <v>11393964.259901574</v>
      </c>
      <c r="F29" s="5">
        <f>'Limpopo-Olifants CMA'!F59+'Inkomati-Pongola CMA'!F59+'Mkuze-Mtamvuna CMA'!F59+'Vaal-Orange CMA'!F59+'Mzimvubu-Tsitsikamma CMA'!F59+'Breede-Olifants CMA'!F59</f>
        <v>11393964.259901574</v>
      </c>
      <c r="G29" s="5">
        <f>'Limpopo-Olifants CMA'!G59+'Inkomati-Pongola CMA'!G59+'Mkuze-Mtamvuna CMA'!G59+'Vaal-Orange CMA'!G59+'Mzimvubu-Tsitsikamma CMA'!G59+'Breede-Olifants CMA'!G59</f>
        <v>11393964.259901574</v>
      </c>
      <c r="H29" s="5">
        <f>'Limpopo-Olifants CMA'!H59+'Inkomati-Pongola CMA'!H59+'Mkuze-Mtamvuna CMA'!H59+'Vaal-Orange CMA'!H59+'Mzimvubu-Tsitsikamma CMA'!H59+'Breede-Olifants CMA'!H59</f>
        <v>11393964.259901574</v>
      </c>
      <c r="I29" s="5">
        <f>'Limpopo-Olifants CMA'!I59+'Inkomati-Pongola CMA'!I59+'Mkuze-Mtamvuna CMA'!I59+'Vaal-Orange CMA'!I59+'Mzimvubu-Tsitsikamma CMA'!I59+'Breede-Olifants CMA'!I59</f>
        <v>11393964.259901574</v>
      </c>
      <c r="J29" s="5">
        <f>'Limpopo-Olifants CMA'!J59+'Inkomati-Pongola CMA'!J59+'Mkuze-Mtamvuna CMA'!J59+'Vaal-Orange CMA'!J59+'Mzimvubu-Tsitsikamma CMA'!J59+'Breede-Olifants CMA'!J59</f>
        <v>11393964.259901574</v>
      </c>
      <c r="K29" s="5">
        <f>'Limpopo-Olifants CMA'!K59+'Inkomati-Pongola CMA'!K59+'Mkuze-Mtamvuna CMA'!K59+'Vaal-Orange CMA'!K59+'Mzimvubu-Tsitsikamma CMA'!K59+'Breede-Olifants CMA'!K59</f>
        <v>11393964.259901574</v>
      </c>
      <c r="L29" s="5">
        <f t="shared" si="11"/>
        <v>11393964.259901572</v>
      </c>
    </row>
    <row r="30" spans="1:15" x14ac:dyDescent="0.25">
      <c r="A30" s="4" t="s">
        <v>11</v>
      </c>
      <c r="B30" s="5">
        <f>'Limpopo-Olifants CMA'!B60+'Inkomati-Pongola CMA'!B60+'Mkuze-Mtamvuna CMA'!B60+'Vaal-Orange CMA'!B60+'Mzimvubu-Tsitsikamma CMA'!B60+'Breede-Olifants CMA'!B60</f>
        <v>0</v>
      </c>
      <c r="C30" s="5">
        <f>'Limpopo-Olifants CMA'!C60+'Inkomati-Pongola CMA'!C60+'Mkuze-Mtamvuna CMA'!C60+'Vaal-Orange CMA'!C60+'Mzimvubu-Tsitsikamma CMA'!C60+'Breede-Olifants CMA'!C60</f>
        <v>0</v>
      </c>
      <c r="D30" s="5">
        <f>'Limpopo-Olifants CMA'!D60+'Inkomati-Pongola CMA'!D60+'Mkuze-Mtamvuna CMA'!D60+'Vaal-Orange CMA'!D60+'Mzimvubu-Tsitsikamma CMA'!D60+'Breede-Olifants CMA'!D60</f>
        <v>0</v>
      </c>
      <c r="E30" s="5">
        <f>'Limpopo-Olifants CMA'!E60+'Inkomati-Pongola CMA'!E60+'Mkuze-Mtamvuna CMA'!E60+'Vaal-Orange CMA'!E60+'Mzimvubu-Tsitsikamma CMA'!E60+'Breede-Olifants CMA'!E60</f>
        <v>0</v>
      </c>
      <c r="F30" s="5">
        <f>'Limpopo-Olifants CMA'!F60+'Inkomati-Pongola CMA'!F60+'Mkuze-Mtamvuna CMA'!F60+'Vaal-Orange CMA'!F60+'Mzimvubu-Tsitsikamma CMA'!F60+'Breede-Olifants CMA'!F60</f>
        <v>0</v>
      </c>
      <c r="G30" s="5">
        <f>'Limpopo-Olifants CMA'!G60+'Inkomati-Pongola CMA'!G60+'Mkuze-Mtamvuna CMA'!G60+'Vaal-Orange CMA'!G60+'Mzimvubu-Tsitsikamma CMA'!G60+'Breede-Olifants CMA'!G60</f>
        <v>0</v>
      </c>
      <c r="H30" s="5">
        <f>'Limpopo-Olifants CMA'!H60+'Inkomati-Pongola CMA'!H60+'Mkuze-Mtamvuna CMA'!H60+'Vaal-Orange CMA'!H60+'Mzimvubu-Tsitsikamma CMA'!H60+'Breede-Olifants CMA'!H60</f>
        <v>0</v>
      </c>
      <c r="I30" s="5">
        <f>'Limpopo-Olifants CMA'!I60+'Inkomati-Pongola CMA'!I60+'Mkuze-Mtamvuna CMA'!I60+'Vaal-Orange CMA'!I60+'Mzimvubu-Tsitsikamma CMA'!I60+'Breede-Olifants CMA'!I60</f>
        <v>0</v>
      </c>
      <c r="J30" s="5">
        <f>'Limpopo-Olifants CMA'!J60+'Inkomati-Pongola CMA'!J60+'Mkuze-Mtamvuna CMA'!J60+'Vaal-Orange CMA'!J60+'Mzimvubu-Tsitsikamma CMA'!J60+'Breede-Olifants CMA'!J60</f>
        <v>0</v>
      </c>
      <c r="K30" s="5">
        <f>'Limpopo-Olifants CMA'!K60+'Inkomati-Pongola CMA'!K60+'Mkuze-Mtamvuna CMA'!K60+'Vaal-Orange CMA'!K60+'Mzimvubu-Tsitsikamma CMA'!K60+'Breede-Olifants CMA'!K60</f>
        <v>0</v>
      </c>
      <c r="L30" s="5">
        <f t="shared" si="11"/>
        <v>0</v>
      </c>
    </row>
    <row r="31" spans="1:15" x14ac:dyDescent="0.25">
      <c r="A31" s="4" t="s">
        <v>124</v>
      </c>
      <c r="B31" s="5">
        <f>'Limpopo-Olifants CMA'!B61+'Inkomati-Pongola CMA'!B61+'Mkuze-Mtamvuna CMA'!B61+'Vaal-Orange CMA'!B61+'Mzimvubu-Tsitsikamma CMA'!B61+'Breede-Olifants CMA'!B61</f>
        <v>14714528.221032213</v>
      </c>
      <c r="C31" s="5">
        <f>'Limpopo-Olifants CMA'!C61+'Inkomati-Pongola CMA'!C61+'Mkuze-Mtamvuna CMA'!C61+'Vaal-Orange CMA'!C61+'Mzimvubu-Tsitsikamma CMA'!C61+'Breede-Olifants CMA'!C61</f>
        <v>14714528.221032213</v>
      </c>
      <c r="D31" s="5">
        <f>'Limpopo-Olifants CMA'!D61+'Inkomati-Pongola CMA'!D61+'Mkuze-Mtamvuna CMA'!D61+'Vaal-Orange CMA'!D61+'Mzimvubu-Tsitsikamma CMA'!D61+'Breede-Olifants CMA'!D61</f>
        <v>14714528.221032213</v>
      </c>
      <c r="E31" s="5">
        <f>'Limpopo-Olifants CMA'!E61+'Inkomati-Pongola CMA'!E61+'Mkuze-Mtamvuna CMA'!E61+'Vaal-Orange CMA'!E61+'Mzimvubu-Tsitsikamma CMA'!E61+'Breede-Olifants CMA'!E61</f>
        <v>14714528.221032213</v>
      </c>
      <c r="F31" s="5">
        <f>'Limpopo-Olifants CMA'!F61+'Inkomati-Pongola CMA'!F61+'Mkuze-Mtamvuna CMA'!F61+'Vaal-Orange CMA'!F61+'Mzimvubu-Tsitsikamma CMA'!F61+'Breede-Olifants CMA'!F61</f>
        <v>14714528.221032213</v>
      </c>
      <c r="G31" s="5">
        <f>'Limpopo-Olifants CMA'!G61+'Inkomati-Pongola CMA'!G61+'Mkuze-Mtamvuna CMA'!G61+'Vaal-Orange CMA'!G61+'Mzimvubu-Tsitsikamma CMA'!G61+'Breede-Olifants CMA'!G61</f>
        <v>14714528.221032213</v>
      </c>
      <c r="H31" s="5">
        <f>'Limpopo-Olifants CMA'!H61+'Inkomati-Pongola CMA'!H61+'Mkuze-Mtamvuna CMA'!H61+'Vaal-Orange CMA'!H61+'Mzimvubu-Tsitsikamma CMA'!H61+'Breede-Olifants CMA'!H61</f>
        <v>14714528.221032213</v>
      </c>
      <c r="I31" s="5">
        <f>'Limpopo-Olifants CMA'!I61+'Inkomati-Pongola CMA'!I61+'Mkuze-Mtamvuna CMA'!I61+'Vaal-Orange CMA'!I61+'Mzimvubu-Tsitsikamma CMA'!I61+'Breede-Olifants CMA'!I61</f>
        <v>14714528.221032213</v>
      </c>
      <c r="J31" s="5">
        <f>'Limpopo-Olifants CMA'!J61+'Inkomati-Pongola CMA'!J61+'Mkuze-Mtamvuna CMA'!J61+'Vaal-Orange CMA'!J61+'Mzimvubu-Tsitsikamma CMA'!J61+'Breede-Olifants CMA'!J61</f>
        <v>14714528.221032213</v>
      </c>
      <c r="K31" s="5">
        <f>'Limpopo-Olifants CMA'!K61+'Inkomati-Pongola CMA'!K61+'Mkuze-Mtamvuna CMA'!K61+'Vaal-Orange CMA'!K61+'Mzimvubu-Tsitsikamma CMA'!K61+'Breede-Olifants CMA'!K61</f>
        <v>14714528.221032213</v>
      </c>
      <c r="L31" s="5">
        <f t="shared" si="11"/>
        <v>14714528.221032213</v>
      </c>
    </row>
    <row r="32" spans="1:15" x14ac:dyDescent="0.25">
      <c r="A32" s="4" t="s">
        <v>12</v>
      </c>
      <c r="B32" s="5">
        <f>'Limpopo-Olifants CMA'!B62+'Inkomati-Pongola CMA'!B62+'Mkuze-Mtamvuna CMA'!B62+'Vaal-Orange CMA'!B62+'Mzimvubu-Tsitsikamma CMA'!B62+'Breede-Olifants CMA'!B62</f>
        <v>21840352.012933277</v>
      </c>
      <c r="C32" s="5">
        <f>'Limpopo-Olifants CMA'!C62+'Inkomati-Pongola CMA'!C62+'Mkuze-Mtamvuna CMA'!C62+'Vaal-Orange CMA'!C62+'Mzimvubu-Tsitsikamma CMA'!C62+'Breede-Olifants CMA'!C62</f>
        <v>21840352.012933277</v>
      </c>
      <c r="D32" s="5">
        <f>'Limpopo-Olifants CMA'!D62+'Inkomati-Pongola CMA'!D62+'Mkuze-Mtamvuna CMA'!D62+'Vaal-Orange CMA'!D62+'Mzimvubu-Tsitsikamma CMA'!D62+'Breede-Olifants CMA'!D62</f>
        <v>21840352.012933277</v>
      </c>
      <c r="E32" s="5">
        <f>'Limpopo-Olifants CMA'!E62+'Inkomati-Pongola CMA'!E62+'Mkuze-Mtamvuna CMA'!E62+'Vaal-Orange CMA'!E62+'Mzimvubu-Tsitsikamma CMA'!E62+'Breede-Olifants CMA'!E62</f>
        <v>21840352.012933277</v>
      </c>
      <c r="F32" s="5">
        <f>'Limpopo-Olifants CMA'!F62+'Inkomati-Pongola CMA'!F62+'Mkuze-Mtamvuna CMA'!F62+'Vaal-Orange CMA'!F62+'Mzimvubu-Tsitsikamma CMA'!F62+'Breede-Olifants CMA'!F62</f>
        <v>21840352.012933277</v>
      </c>
      <c r="G32" s="5">
        <f>'Limpopo-Olifants CMA'!G62+'Inkomati-Pongola CMA'!G62+'Mkuze-Mtamvuna CMA'!G62+'Vaal-Orange CMA'!G62+'Mzimvubu-Tsitsikamma CMA'!G62+'Breede-Olifants CMA'!G62</f>
        <v>21840352.012933277</v>
      </c>
      <c r="H32" s="5">
        <f>'Limpopo-Olifants CMA'!H62+'Inkomati-Pongola CMA'!H62+'Mkuze-Mtamvuna CMA'!H62+'Vaal-Orange CMA'!H62+'Mzimvubu-Tsitsikamma CMA'!H62+'Breede-Olifants CMA'!H62</f>
        <v>21840352.012933277</v>
      </c>
      <c r="I32" s="5">
        <f>'Limpopo-Olifants CMA'!I62+'Inkomati-Pongola CMA'!I62+'Mkuze-Mtamvuna CMA'!I62+'Vaal-Orange CMA'!I62+'Mzimvubu-Tsitsikamma CMA'!I62+'Breede-Olifants CMA'!I62</f>
        <v>21840352.012933277</v>
      </c>
      <c r="J32" s="5">
        <f>'Limpopo-Olifants CMA'!J62+'Inkomati-Pongola CMA'!J62+'Mkuze-Mtamvuna CMA'!J62+'Vaal-Orange CMA'!J62+'Mzimvubu-Tsitsikamma CMA'!J62+'Breede-Olifants CMA'!J62</f>
        <v>21840352.012933277</v>
      </c>
      <c r="K32" s="5">
        <f>'Limpopo-Olifants CMA'!K62+'Inkomati-Pongola CMA'!K62+'Mkuze-Mtamvuna CMA'!K62+'Vaal-Orange CMA'!K62+'Mzimvubu-Tsitsikamma CMA'!K62+'Breede-Olifants CMA'!K62</f>
        <v>21840352.012933277</v>
      </c>
      <c r="L32" s="5">
        <f t="shared" si="11"/>
        <v>21840352.01293328</v>
      </c>
    </row>
    <row r="33" spans="1:12" x14ac:dyDescent="0.25">
      <c r="A33" s="4" t="s">
        <v>13</v>
      </c>
      <c r="B33" s="5">
        <f>'Limpopo-Olifants CMA'!B63+'Inkomati-Pongola CMA'!B63+'Mkuze-Mtamvuna CMA'!B63+'Vaal-Orange CMA'!B63+'Mzimvubu-Tsitsikamma CMA'!B63+'Breede-Olifants CMA'!B63</f>
        <v>2031353.1649979812</v>
      </c>
      <c r="C33" s="5">
        <f>'Limpopo-Olifants CMA'!C63+'Inkomati-Pongola CMA'!C63+'Mkuze-Mtamvuna CMA'!C63+'Vaal-Orange CMA'!C63+'Mzimvubu-Tsitsikamma CMA'!C63+'Breede-Olifants CMA'!C63</f>
        <v>2031353.1649979812</v>
      </c>
      <c r="D33" s="5">
        <f>'Limpopo-Olifants CMA'!D63+'Inkomati-Pongola CMA'!D63+'Mkuze-Mtamvuna CMA'!D63+'Vaal-Orange CMA'!D63+'Mzimvubu-Tsitsikamma CMA'!D63+'Breede-Olifants CMA'!D63</f>
        <v>2031353.1649979812</v>
      </c>
      <c r="E33" s="5">
        <f>'Limpopo-Olifants CMA'!E63+'Inkomati-Pongola CMA'!E63+'Mkuze-Mtamvuna CMA'!E63+'Vaal-Orange CMA'!E63+'Mzimvubu-Tsitsikamma CMA'!E63+'Breede-Olifants CMA'!E63</f>
        <v>2031353.1649979812</v>
      </c>
      <c r="F33" s="5">
        <f>'Limpopo-Olifants CMA'!F63+'Inkomati-Pongola CMA'!F63+'Mkuze-Mtamvuna CMA'!F63+'Vaal-Orange CMA'!F63+'Mzimvubu-Tsitsikamma CMA'!F63+'Breede-Olifants CMA'!F63</f>
        <v>2031353.1649979812</v>
      </c>
      <c r="G33" s="5">
        <f>'Limpopo-Olifants CMA'!G63+'Inkomati-Pongola CMA'!G63+'Mkuze-Mtamvuna CMA'!G63+'Vaal-Orange CMA'!G63+'Mzimvubu-Tsitsikamma CMA'!G63+'Breede-Olifants CMA'!G63</f>
        <v>2031353.1649979812</v>
      </c>
      <c r="H33" s="5">
        <f>'Limpopo-Olifants CMA'!H63+'Inkomati-Pongola CMA'!H63+'Mkuze-Mtamvuna CMA'!H63+'Vaal-Orange CMA'!H63+'Mzimvubu-Tsitsikamma CMA'!H63+'Breede-Olifants CMA'!H63</f>
        <v>2031353.1649979812</v>
      </c>
      <c r="I33" s="5">
        <f>'Limpopo-Olifants CMA'!I63+'Inkomati-Pongola CMA'!I63+'Mkuze-Mtamvuna CMA'!I63+'Vaal-Orange CMA'!I63+'Mzimvubu-Tsitsikamma CMA'!I63+'Breede-Olifants CMA'!I63</f>
        <v>2031353.1649979812</v>
      </c>
      <c r="J33" s="5">
        <f>'Limpopo-Olifants CMA'!J63+'Inkomati-Pongola CMA'!J63+'Mkuze-Mtamvuna CMA'!J63+'Vaal-Orange CMA'!J63+'Mzimvubu-Tsitsikamma CMA'!J63+'Breede-Olifants CMA'!J63</f>
        <v>2031353.1649979812</v>
      </c>
      <c r="K33" s="5">
        <f>'Limpopo-Olifants CMA'!K63+'Inkomati-Pongola CMA'!K63+'Mkuze-Mtamvuna CMA'!K63+'Vaal-Orange CMA'!K63+'Mzimvubu-Tsitsikamma CMA'!K63+'Breede-Olifants CMA'!K63</f>
        <v>2031353.1649979812</v>
      </c>
      <c r="L33" s="5">
        <f t="shared" si="11"/>
        <v>2031353.1649979812</v>
      </c>
    </row>
    <row r="34" spans="1:12" x14ac:dyDescent="0.25">
      <c r="A34" s="4" t="s">
        <v>14</v>
      </c>
      <c r="B34" s="5">
        <f>'Limpopo-Olifants CMA'!B64+'Inkomati-Pongola CMA'!B64+'Mkuze-Mtamvuna CMA'!B64+'Vaal-Orange CMA'!B64+'Mzimvubu-Tsitsikamma CMA'!B64+'Breede-Olifants CMA'!B64</f>
        <v>0</v>
      </c>
      <c r="C34" s="5">
        <f>'Limpopo-Olifants CMA'!C64+'Inkomati-Pongola CMA'!C64+'Mkuze-Mtamvuna CMA'!C64+'Vaal-Orange CMA'!C64+'Mzimvubu-Tsitsikamma CMA'!C64+'Breede-Olifants CMA'!C64</f>
        <v>0</v>
      </c>
      <c r="D34" s="5">
        <f>'Limpopo-Olifants CMA'!D64+'Inkomati-Pongola CMA'!D64+'Mkuze-Mtamvuna CMA'!D64+'Vaal-Orange CMA'!D64+'Mzimvubu-Tsitsikamma CMA'!D64+'Breede-Olifants CMA'!D64</f>
        <v>0</v>
      </c>
      <c r="E34" s="5">
        <f>'Limpopo-Olifants CMA'!E64+'Inkomati-Pongola CMA'!E64+'Mkuze-Mtamvuna CMA'!E64+'Vaal-Orange CMA'!E64+'Mzimvubu-Tsitsikamma CMA'!E64+'Breede-Olifants CMA'!E64</f>
        <v>0</v>
      </c>
      <c r="F34" s="5">
        <f>'Limpopo-Olifants CMA'!F64+'Inkomati-Pongola CMA'!F64+'Mkuze-Mtamvuna CMA'!F64+'Vaal-Orange CMA'!F64+'Mzimvubu-Tsitsikamma CMA'!F64+'Breede-Olifants CMA'!F64</f>
        <v>0</v>
      </c>
      <c r="G34" s="5">
        <f>'Limpopo-Olifants CMA'!G64+'Inkomati-Pongola CMA'!G64+'Mkuze-Mtamvuna CMA'!G64+'Vaal-Orange CMA'!G64+'Mzimvubu-Tsitsikamma CMA'!G64+'Breede-Olifants CMA'!G64</f>
        <v>0</v>
      </c>
      <c r="H34" s="5">
        <f>'Limpopo-Olifants CMA'!H64+'Inkomati-Pongola CMA'!H64+'Mkuze-Mtamvuna CMA'!H64+'Vaal-Orange CMA'!H64+'Mzimvubu-Tsitsikamma CMA'!H64+'Breede-Olifants CMA'!H64</f>
        <v>0</v>
      </c>
      <c r="I34" s="5">
        <f>'Limpopo-Olifants CMA'!I64+'Inkomati-Pongola CMA'!I64+'Mkuze-Mtamvuna CMA'!I64+'Vaal-Orange CMA'!I64+'Mzimvubu-Tsitsikamma CMA'!I64+'Breede-Olifants CMA'!I64</f>
        <v>0</v>
      </c>
      <c r="J34" s="5">
        <f>'Limpopo-Olifants CMA'!J64+'Inkomati-Pongola CMA'!J64+'Mkuze-Mtamvuna CMA'!J64+'Vaal-Orange CMA'!J64+'Mzimvubu-Tsitsikamma CMA'!J64+'Breede-Olifants CMA'!J64</f>
        <v>0</v>
      </c>
      <c r="K34" s="5">
        <f>'Limpopo-Olifants CMA'!K64+'Inkomati-Pongola CMA'!K64+'Mkuze-Mtamvuna CMA'!K64+'Vaal-Orange CMA'!K64+'Mzimvubu-Tsitsikamma CMA'!K64+'Breede-Olifants CMA'!K64</f>
        <v>0</v>
      </c>
      <c r="L34" s="5">
        <f t="shared" si="11"/>
        <v>0</v>
      </c>
    </row>
    <row r="35" spans="1:12" x14ac:dyDescent="0.25">
      <c r="A35" s="4" t="s">
        <v>125</v>
      </c>
      <c r="B35" s="5">
        <f>'Limpopo-Olifants CMA'!B65+'Inkomati-Pongola CMA'!B65+'Mkuze-Mtamvuna CMA'!B65+'Vaal-Orange CMA'!B65+'Mzimvubu-Tsitsikamma CMA'!B65+'Breede-Olifants CMA'!B65</f>
        <v>5778386.9358614422</v>
      </c>
      <c r="C35" s="5">
        <f>'Limpopo-Olifants CMA'!C65+'Inkomati-Pongola CMA'!C65+'Mkuze-Mtamvuna CMA'!C65+'Vaal-Orange CMA'!C65+'Mzimvubu-Tsitsikamma CMA'!C65+'Breede-Olifants CMA'!C65</f>
        <v>5778386.9358614422</v>
      </c>
      <c r="D35" s="5">
        <f>'Limpopo-Olifants CMA'!D65+'Inkomati-Pongola CMA'!D65+'Mkuze-Mtamvuna CMA'!D65+'Vaal-Orange CMA'!D65+'Mzimvubu-Tsitsikamma CMA'!D65+'Breede-Olifants CMA'!D65</f>
        <v>5778386.9358614422</v>
      </c>
      <c r="E35" s="5">
        <f>'Limpopo-Olifants CMA'!E65+'Inkomati-Pongola CMA'!E65+'Mkuze-Mtamvuna CMA'!E65+'Vaal-Orange CMA'!E65+'Mzimvubu-Tsitsikamma CMA'!E65+'Breede-Olifants CMA'!E65</f>
        <v>5778386.9358614422</v>
      </c>
      <c r="F35" s="5">
        <f>'Limpopo-Olifants CMA'!F65+'Inkomati-Pongola CMA'!F65+'Mkuze-Mtamvuna CMA'!F65+'Vaal-Orange CMA'!F65+'Mzimvubu-Tsitsikamma CMA'!F65+'Breede-Olifants CMA'!F65</f>
        <v>5778386.9358614422</v>
      </c>
      <c r="G35" s="5">
        <f>'Limpopo-Olifants CMA'!G65+'Inkomati-Pongola CMA'!G65+'Mkuze-Mtamvuna CMA'!G65+'Vaal-Orange CMA'!G65+'Mzimvubu-Tsitsikamma CMA'!G65+'Breede-Olifants CMA'!G65</f>
        <v>5778386.9358614422</v>
      </c>
      <c r="H35" s="5">
        <f>'Limpopo-Olifants CMA'!H65+'Inkomati-Pongola CMA'!H65+'Mkuze-Mtamvuna CMA'!H65+'Vaal-Orange CMA'!H65+'Mzimvubu-Tsitsikamma CMA'!H65+'Breede-Olifants CMA'!H65</f>
        <v>5778386.9358614422</v>
      </c>
      <c r="I35" s="5">
        <f>'Limpopo-Olifants CMA'!I65+'Inkomati-Pongola CMA'!I65+'Mkuze-Mtamvuna CMA'!I65+'Vaal-Orange CMA'!I65+'Mzimvubu-Tsitsikamma CMA'!I65+'Breede-Olifants CMA'!I65</f>
        <v>5778386.9358614422</v>
      </c>
      <c r="J35" s="5">
        <f>'Limpopo-Olifants CMA'!J65+'Inkomati-Pongola CMA'!J65+'Mkuze-Mtamvuna CMA'!J65+'Vaal-Orange CMA'!J65+'Mzimvubu-Tsitsikamma CMA'!J65+'Breede-Olifants CMA'!J65</f>
        <v>5778386.9358614422</v>
      </c>
      <c r="K35" s="5">
        <f>'Limpopo-Olifants CMA'!K65+'Inkomati-Pongola CMA'!K65+'Mkuze-Mtamvuna CMA'!K65+'Vaal-Orange CMA'!K65+'Mzimvubu-Tsitsikamma CMA'!K65+'Breede-Olifants CMA'!K65</f>
        <v>5778386.9358614422</v>
      </c>
      <c r="L35" s="5">
        <f t="shared" si="11"/>
        <v>5778386.9358614413</v>
      </c>
    </row>
    <row r="36" spans="1:12" x14ac:dyDescent="0.25">
      <c r="A36" s="4" t="s">
        <v>37</v>
      </c>
      <c r="B36" s="5">
        <f>'Limpopo-Olifants CMA'!B66+'Inkomati-Pongola CMA'!B66+'Mkuze-Mtamvuna CMA'!B66+'Vaal-Orange CMA'!B66+'Mzimvubu-Tsitsikamma CMA'!B66+'Breede-Olifants CMA'!B66</f>
        <v>132361516.20968686</v>
      </c>
      <c r="C36" s="5">
        <f>'Limpopo-Olifants CMA'!C66+'Inkomati-Pongola CMA'!C66+'Mkuze-Mtamvuna CMA'!C66+'Vaal-Orange CMA'!C66+'Mzimvubu-Tsitsikamma CMA'!C66+'Breede-Olifants CMA'!C66</f>
        <v>132361516.20968686</v>
      </c>
      <c r="D36" s="5">
        <f>'Limpopo-Olifants CMA'!D66+'Inkomati-Pongola CMA'!D66+'Mkuze-Mtamvuna CMA'!D66+'Vaal-Orange CMA'!D66+'Mzimvubu-Tsitsikamma CMA'!D66+'Breede-Olifants CMA'!D66</f>
        <v>132361516.20968686</v>
      </c>
      <c r="E36" s="5">
        <f>'Limpopo-Olifants CMA'!E66+'Inkomati-Pongola CMA'!E66+'Mkuze-Mtamvuna CMA'!E66+'Vaal-Orange CMA'!E66+'Mzimvubu-Tsitsikamma CMA'!E66+'Breede-Olifants CMA'!E66</f>
        <v>132361516.20968686</v>
      </c>
      <c r="F36" s="5">
        <f>'Limpopo-Olifants CMA'!F66+'Inkomati-Pongola CMA'!F66+'Mkuze-Mtamvuna CMA'!F66+'Vaal-Orange CMA'!F66+'Mzimvubu-Tsitsikamma CMA'!F66+'Breede-Olifants CMA'!F66</f>
        <v>132361516.20968686</v>
      </c>
      <c r="G36" s="5">
        <f>'Limpopo-Olifants CMA'!G66+'Inkomati-Pongola CMA'!G66+'Mkuze-Mtamvuna CMA'!G66+'Vaal-Orange CMA'!G66+'Mzimvubu-Tsitsikamma CMA'!G66+'Breede-Olifants CMA'!G66</f>
        <v>132361516.20968686</v>
      </c>
      <c r="H36" s="5">
        <f>'Limpopo-Olifants CMA'!H66+'Inkomati-Pongola CMA'!H66+'Mkuze-Mtamvuna CMA'!H66+'Vaal-Orange CMA'!H66+'Mzimvubu-Tsitsikamma CMA'!H66+'Breede-Olifants CMA'!H66</f>
        <v>132361516.20968686</v>
      </c>
      <c r="I36" s="5">
        <f>'Limpopo-Olifants CMA'!I66+'Inkomati-Pongola CMA'!I66+'Mkuze-Mtamvuna CMA'!I66+'Vaal-Orange CMA'!I66+'Mzimvubu-Tsitsikamma CMA'!I66+'Breede-Olifants CMA'!I66</f>
        <v>132361516.20968686</v>
      </c>
      <c r="J36" s="5">
        <f>'Limpopo-Olifants CMA'!J66+'Inkomati-Pongola CMA'!J66+'Mkuze-Mtamvuna CMA'!J66+'Vaal-Orange CMA'!J66+'Mzimvubu-Tsitsikamma CMA'!J66+'Breede-Olifants CMA'!J66</f>
        <v>132361516.20968686</v>
      </c>
      <c r="K36" s="5">
        <f>'Limpopo-Olifants CMA'!K66+'Inkomati-Pongola CMA'!K66+'Mkuze-Mtamvuna CMA'!K66+'Vaal-Orange CMA'!K66+'Mzimvubu-Tsitsikamma CMA'!K66+'Breede-Olifants CMA'!K66</f>
        <v>132361516.20968686</v>
      </c>
      <c r="L36" s="5">
        <f t="shared" si="11"/>
        <v>132361516.20968685</v>
      </c>
    </row>
    <row r="37" spans="1:12" x14ac:dyDescent="0.25">
      <c r="A37" s="4" t="s">
        <v>38</v>
      </c>
      <c r="B37" s="5">
        <f>'Limpopo-Olifants CMA'!B67+'Inkomati-Pongola CMA'!B67+'Mkuze-Mtamvuna CMA'!B67+'Vaal-Orange CMA'!B67+'Mzimvubu-Tsitsikamma CMA'!B67+'Breede-Olifants CMA'!B67</f>
        <v>2816407.7688861461</v>
      </c>
      <c r="C37" s="5">
        <f>'Limpopo-Olifants CMA'!C67+'Inkomati-Pongola CMA'!C67+'Mkuze-Mtamvuna CMA'!C67+'Vaal-Orange CMA'!C67+'Mzimvubu-Tsitsikamma CMA'!C67+'Breede-Olifants CMA'!C67</f>
        <v>2816407.7688861461</v>
      </c>
      <c r="D37" s="5">
        <f>'Limpopo-Olifants CMA'!D67+'Inkomati-Pongola CMA'!D67+'Mkuze-Mtamvuna CMA'!D67+'Vaal-Orange CMA'!D67+'Mzimvubu-Tsitsikamma CMA'!D67+'Breede-Olifants CMA'!D67</f>
        <v>2816407.7688861461</v>
      </c>
      <c r="E37" s="5">
        <f>'Limpopo-Olifants CMA'!E67+'Inkomati-Pongola CMA'!E67+'Mkuze-Mtamvuna CMA'!E67+'Vaal-Orange CMA'!E67+'Mzimvubu-Tsitsikamma CMA'!E67+'Breede-Olifants CMA'!E67</f>
        <v>2816407.7688861461</v>
      </c>
      <c r="F37" s="5">
        <f>'Limpopo-Olifants CMA'!F67+'Inkomati-Pongola CMA'!F67+'Mkuze-Mtamvuna CMA'!F67+'Vaal-Orange CMA'!F67+'Mzimvubu-Tsitsikamma CMA'!F67+'Breede-Olifants CMA'!F67</f>
        <v>2816407.7688861461</v>
      </c>
      <c r="G37" s="5">
        <f>'Limpopo-Olifants CMA'!G67+'Inkomati-Pongola CMA'!G67+'Mkuze-Mtamvuna CMA'!G67+'Vaal-Orange CMA'!G67+'Mzimvubu-Tsitsikamma CMA'!G67+'Breede-Olifants CMA'!G67</f>
        <v>2816407.7688861461</v>
      </c>
      <c r="H37" s="5">
        <f>'Limpopo-Olifants CMA'!H67+'Inkomati-Pongola CMA'!H67+'Mkuze-Mtamvuna CMA'!H67+'Vaal-Orange CMA'!H67+'Mzimvubu-Tsitsikamma CMA'!H67+'Breede-Olifants CMA'!H67</f>
        <v>2816407.7688861461</v>
      </c>
      <c r="I37" s="5">
        <f>'Limpopo-Olifants CMA'!I67+'Inkomati-Pongola CMA'!I67+'Mkuze-Mtamvuna CMA'!I67+'Vaal-Orange CMA'!I67+'Mzimvubu-Tsitsikamma CMA'!I67+'Breede-Olifants CMA'!I67</f>
        <v>2816407.7688861461</v>
      </c>
      <c r="J37" s="5">
        <f>'Limpopo-Olifants CMA'!J67+'Inkomati-Pongola CMA'!J67+'Mkuze-Mtamvuna CMA'!J67+'Vaal-Orange CMA'!J67+'Mzimvubu-Tsitsikamma CMA'!J67+'Breede-Olifants CMA'!J67</f>
        <v>2816407.7688861461</v>
      </c>
      <c r="K37" s="5">
        <f>'Limpopo-Olifants CMA'!K67+'Inkomati-Pongola CMA'!K67+'Mkuze-Mtamvuna CMA'!K67+'Vaal-Orange CMA'!K67+'Mzimvubu-Tsitsikamma CMA'!K67+'Breede-Olifants CMA'!K67</f>
        <v>2816407.7688861461</v>
      </c>
      <c r="L37" s="5">
        <f t="shared" si="11"/>
        <v>2816407.7688861457</v>
      </c>
    </row>
    <row r="38" spans="1:12" x14ac:dyDescent="0.25">
      <c r="A38" s="4" t="s">
        <v>15</v>
      </c>
      <c r="B38" s="13">
        <f>'Limpopo-Olifants CMA'!B68+'Inkomati-Pongola CMA'!B68+'Mkuze-Mtamvuna CMA'!B68+'Vaal-Orange CMA'!B68+'Mzimvubu-Tsitsikamma CMA'!B68+'Breede-Olifants CMA'!B68</f>
        <v>97468538.073932648</v>
      </c>
      <c r="C38" s="13">
        <f>'Limpopo-Olifants CMA'!C68+'Inkomati-Pongola CMA'!C68+'Mkuze-Mtamvuna CMA'!C68+'Vaal-Orange CMA'!C68+'Mzimvubu-Tsitsikamma CMA'!C68+'Breede-Olifants CMA'!C68</f>
        <v>97468538.073932648</v>
      </c>
      <c r="D38" s="13">
        <f>'Limpopo-Olifants CMA'!D68+'Inkomati-Pongola CMA'!D68+'Mkuze-Mtamvuna CMA'!D68+'Vaal-Orange CMA'!D68+'Mzimvubu-Tsitsikamma CMA'!D68+'Breede-Olifants CMA'!D68</f>
        <v>97468538.073932648</v>
      </c>
      <c r="E38" s="13">
        <f>'Limpopo-Olifants CMA'!E68+'Inkomati-Pongola CMA'!E68+'Mkuze-Mtamvuna CMA'!E68+'Vaal-Orange CMA'!E68+'Mzimvubu-Tsitsikamma CMA'!E68+'Breede-Olifants CMA'!E68</f>
        <v>97468538.073932648</v>
      </c>
      <c r="F38" s="13">
        <f>'Limpopo-Olifants CMA'!F68+'Inkomati-Pongola CMA'!F68+'Mkuze-Mtamvuna CMA'!F68+'Vaal-Orange CMA'!F68+'Mzimvubu-Tsitsikamma CMA'!F68+'Breede-Olifants CMA'!F68</f>
        <v>97468538.073932648</v>
      </c>
      <c r="G38" s="13">
        <f>'Limpopo-Olifants CMA'!G68+'Inkomati-Pongola CMA'!G68+'Mkuze-Mtamvuna CMA'!G68+'Vaal-Orange CMA'!G68+'Mzimvubu-Tsitsikamma CMA'!G68+'Breede-Olifants CMA'!G68</f>
        <v>97468538.073932648</v>
      </c>
      <c r="H38" s="13">
        <f>'Limpopo-Olifants CMA'!H68+'Inkomati-Pongola CMA'!H68+'Mkuze-Mtamvuna CMA'!H68+'Vaal-Orange CMA'!H68+'Mzimvubu-Tsitsikamma CMA'!H68+'Breede-Olifants CMA'!H68</f>
        <v>97468538.073932648</v>
      </c>
      <c r="I38" s="13">
        <f>'Limpopo-Olifants CMA'!I68+'Inkomati-Pongola CMA'!I68+'Mkuze-Mtamvuna CMA'!I68+'Vaal-Orange CMA'!I68+'Mzimvubu-Tsitsikamma CMA'!I68+'Breede-Olifants CMA'!I68</f>
        <v>97468538.073932648</v>
      </c>
      <c r="J38" s="13">
        <f>'Limpopo-Olifants CMA'!J68+'Inkomati-Pongola CMA'!J68+'Mkuze-Mtamvuna CMA'!J68+'Vaal-Orange CMA'!J68+'Mzimvubu-Tsitsikamma CMA'!J68+'Breede-Olifants CMA'!J68</f>
        <v>97468538.073932648</v>
      </c>
      <c r="K38" s="13">
        <f>'Limpopo-Olifants CMA'!K68+'Inkomati-Pongola CMA'!K68+'Mkuze-Mtamvuna CMA'!K68+'Vaal-Orange CMA'!K68+'Mzimvubu-Tsitsikamma CMA'!K68+'Breede-Olifants CMA'!K68</f>
        <v>97468538.073932648</v>
      </c>
      <c r="L38" s="5">
        <f t="shared" si="11"/>
        <v>97468538.073932648</v>
      </c>
    </row>
    <row r="39" spans="1:12" x14ac:dyDescent="0.25">
      <c r="B39" s="5">
        <f t="shared" ref="B39:K39" si="12">SUM(B28:B38)</f>
        <v>341753081.94294268</v>
      </c>
      <c r="C39" s="5">
        <f t="shared" si="12"/>
        <v>341753081.94294268</v>
      </c>
      <c r="D39" s="5">
        <f t="shared" si="12"/>
        <v>341753081.94294268</v>
      </c>
      <c r="E39" s="5">
        <f t="shared" si="12"/>
        <v>341753081.94294268</v>
      </c>
      <c r="F39" s="5">
        <f t="shared" si="12"/>
        <v>341753081.94294268</v>
      </c>
      <c r="G39" s="5">
        <f t="shared" si="12"/>
        <v>341753081.94294268</v>
      </c>
      <c r="H39" s="5">
        <f t="shared" si="12"/>
        <v>341753081.94294268</v>
      </c>
      <c r="I39" s="5">
        <f t="shared" si="12"/>
        <v>341753081.94294268</v>
      </c>
      <c r="J39" s="5">
        <f t="shared" si="12"/>
        <v>341753081.94294268</v>
      </c>
      <c r="K39" s="5">
        <f t="shared" si="12"/>
        <v>341753081.94294268</v>
      </c>
      <c r="L39" s="5"/>
    </row>
    <row r="42" spans="1:12" ht="30" x14ac:dyDescent="0.25">
      <c r="A42" s="15" t="s">
        <v>57</v>
      </c>
      <c r="B42" s="12" t="str">
        <f>B27</f>
        <v>2023</v>
      </c>
      <c r="C42" s="12">
        <f t="shared" ref="C42:K42" si="13">B27+1</f>
        <v>2024</v>
      </c>
      <c r="D42" s="12">
        <f t="shared" si="13"/>
        <v>2025</v>
      </c>
      <c r="E42" s="12">
        <f t="shared" si="13"/>
        <v>2026</v>
      </c>
      <c r="F42" s="12">
        <f t="shared" si="13"/>
        <v>2027</v>
      </c>
      <c r="G42" s="12">
        <f t="shared" si="13"/>
        <v>2028</v>
      </c>
      <c r="H42" s="12">
        <f t="shared" si="13"/>
        <v>2029</v>
      </c>
      <c r="I42" s="12">
        <f t="shared" si="13"/>
        <v>2030</v>
      </c>
      <c r="J42" s="12">
        <f t="shared" si="13"/>
        <v>2031</v>
      </c>
      <c r="K42" s="12">
        <f t="shared" si="13"/>
        <v>2032</v>
      </c>
      <c r="L42" s="1" t="s">
        <v>28</v>
      </c>
    </row>
    <row r="43" spans="1:12" x14ac:dyDescent="0.25">
      <c r="A43" s="4" t="s">
        <v>35</v>
      </c>
      <c r="B43" s="5">
        <f>'Limpopo-Olifants CMA'!B73+'Inkomati-Pongola CMA'!B73+'Mkuze-Mtamvuna CMA'!B73+'Vaal-Orange CMA'!B73+'Mzimvubu-Tsitsikamma CMA'!B73+'Breede-Olifants CMA'!B73</f>
        <v>39491402.751370147</v>
      </c>
      <c r="C43" s="5">
        <f>'Limpopo-Olifants CMA'!C73+'Inkomati-Pongola CMA'!C73+'Mkuze-Mtamvuna CMA'!C73+'Vaal-Orange CMA'!C73+'Mzimvubu-Tsitsikamma CMA'!C73+'Breede-Olifants CMA'!C73</f>
        <v>39491402.751370147</v>
      </c>
      <c r="D43" s="5">
        <f>'Limpopo-Olifants CMA'!D73+'Inkomati-Pongola CMA'!D73+'Mkuze-Mtamvuna CMA'!D73+'Vaal-Orange CMA'!D73+'Mzimvubu-Tsitsikamma CMA'!D73+'Breede-Olifants CMA'!D73</f>
        <v>39491402.751370147</v>
      </c>
      <c r="E43" s="5">
        <f>'Limpopo-Olifants CMA'!E73+'Inkomati-Pongola CMA'!E73+'Mkuze-Mtamvuna CMA'!E73+'Vaal-Orange CMA'!E73+'Mzimvubu-Tsitsikamma CMA'!E73+'Breede-Olifants CMA'!E73</f>
        <v>39491402.751370147</v>
      </c>
      <c r="F43" s="5">
        <f>'Limpopo-Olifants CMA'!F73+'Inkomati-Pongola CMA'!F73+'Mkuze-Mtamvuna CMA'!F73+'Vaal-Orange CMA'!F73+'Mzimvubu-Tsitsikamma CMA'!F73+'Breede-Olifants CMA'!F73</f>
        <v>39491402.751370147</v>
      </c>
      <c r="G43" s="5">
        <f>'Limpopo-Olifants CMA'!G73+'Inkomati-Pongola CMA'!G73+'Mkuze-Mtamvuna CMA'!G73+'Vaal-Orange CMA'!G73+'Mzimvubu-Tsitsikamma CMA'!G73+'Breede-Olifants CMA'!G73</f>
        <v>39491402.751370147</v>
      </c>
      <c r="H43" s="5">
        <f>'Limpopo-Olifants CMA'!H73+'Inkomati-Pongola CMA'!H73+'Mkuze-Mtamvuna CMA'!H73+'Vaal-Orange CMA'!H73+'Mzimvubu-Tsitsikamma CMA'!H73+'Breede-Olifants CMA'!H73</f>
        <v>39491402.751370147</v>
      </c>
      <c r="I43" s="5">
        <f>'Limpopo-Olifants CMA'!I73+'Inkomati-Pongola CMA'!I73+'Mkuze-Mtamvuna CMA'!I73+'Vaal-Orange CMA'!I73+'Mzimvubu-Tsitsikamma CMA'!I73+'Breede-Olifants CMA'!I73</f>
        <v>39491402.751370147</v>
      </c>
      <c r="J43" s="5">
        <f>'Limpopo-Olifants CMA'!J73+'Inkomati-Pongola CMA'!J73+'Mkuze-Mtamvuna CMA'!J73+'Vaal-Orange CMA'!J73+'Mzimvubu-Tsitsikamma CMA'!J73+'Breede-Olifants CMA'!J73</f>
        <v>39491402.751370147</v>
      </c>
      <c r="K43" s="5">
        <f>'Limpopo-Olifants CMA'!K73+'Inkomati-Pongola CMA'!K73+'Mkuze-Mtamvuna CMA'!K73+'Vaal-Orange CMA'!K73+'Mzimvubu-Tsitsikamma CMA'!K73+'Breede-Olifants CMA'!K73</f>
        <v>39491402.751370147</v>
      </c>
      <c r="L43" s="5">
        <f>AVERAGE(B43:K43)</f>
        <v>39491402.751370139</v>
      </c>
    </row>
    <row r="44" spans="1:12" x14ac:dyDescent="0.25">
      <c r="A44" s="4" t="s">
        <v>36</v>
      </c>
      <c r="B44" s="5">
        <f>'Limpopo-Olifants CMA'!B74+'Inkomati-Pongola CMA'!B74+'Mkuze-Mtamvuna CMA'!B74+'Vaal-Orange CMA'!B74+'Mzimvubu-Tsitsikamma CMA'!B74+'Breede-Olifants CMA'!B74</f>
        <v>3797988.0866338573</v>
      </c>
      <c r="C44" s="5">
        <f>'Limpopo-Olifants CMA'!C74+'Inkomati-Pongola CMA'!C74+'Mkuze-Mtamvuna CMA'!C74+'Vaal-Orange CMA'!C74+'Mzimvubu-Tsitsikamma CMA'!C74+'Breede-Olifants CMA'!C74</f>
        <v>3797988.0866338573</v>
      </c>
      <c r="D44" s="5">
        <f>'Limpopo-Olifants CMA'!D74+'Inkomati-Pongola CMA'!D74+'Mkuze-Mtamvuna CMA'!D74+'Vaal-Orange CMA'!D74+'Mzimvubu-Tsitsikamma CMA'!D74+'Breede-Olifants CMA'!D74</f>
        <v>3797988.0866338573</v>
      </c>
      <c r="E44" s="5">
        <f>'Limpopo-Olifants CMA'!E74+'Inkomati-Pongola CMA'!E74+'Mkuze-Mtamvuna CMA'!E74+'Vaal-Orange CMA'!E74+'Mzimvubu-Tsitsikamma CMA'!E74+'Breede-Olifants CMA'!E74</f>
        <v>3797988.0866338573</v>
      </c>
      <c r="F44" s="5">
        <f>'Limpopo-Olifants CMA'!F74+'Inkomati-Pongola CMA'!F74+'Mkuze-Mtamvuna CMA'!F74+'Vaal-Orange CMA'!F74+'Mzimvubu-Tsitsikamma CMA'!F74+'Breede-Olifants CMA'!F74</f>
        <v>3797988.0866338573</v>
      </c>
      <c r="G44" s="5">
        <f>'Limpopo-Olifants CMA'!G74+'Inkomati-Pongola CMA'!G74+'Mkuze-Mtamvuna CMA'!G74+'Vaal-Orange CMA'!G74+'Mzimvubu-Tsitsikamma CMA'!G74+'Breede-Olifants CMA'!G74</f>
        <v>3797988.0866338573</v>
      </c>
      <c r="H44" s="5">
        <f>'Limpopo-Olifants CMA'!H74+'Inkomati-Pongola CMA'!H74+'Mkuze-Mtamvuna CMA'!H74+'Vaal-Orange CMA'!H74+'Mzimvubu-Tsitsikamma CMA'!H74+'Breede-Olifants CMA'!H74</f>
        <v>3797988.0866338573</v>
      </c>
      <c r="I44" s="5">
        <f>'Limpopo-Olifants CMA'!I74+'Inkomati-Pongola CMA'!I74+'Mkuze-Mtamvuna CMA'!I74+'Vaal-Orange CMA'!I74+'Mzimvubu-Tsitsikamma CMA'!I74+'Breede-Olifants CMA'!I74</f>
        <v>3797988.0866338573</v>
      </c>
      <c r="J44" s="5">
        <f>'Limpopo-Olifants CMA'!J74+'Inkomati-Pongola CMA'!J74+'Mkuze-Mtamvuna CMA'!J74+'Vaal-Orange CMA'!J74+'Mzimvubu-Tsitsikamma CMA'!J74+'Breede-Olifants CMA'!J74</f>
        <v>3797988.0866338573</v>
      </c>
      <c r="K44" s="5">
        <f>'Limpopo-Olifants CMA'!K74+'Inkomati-Pongola CMA'!K74+'Mkuze-Mtamvuna CMA'!K74+'Vaal-Orange CMA'!K74+'Mzimvubu-Tsitsikamma CMA'!K74+'Breede-Olifants CMA'!K74</f>
        <v>3797988.0866338573</v>
      </c>
      <c r="L44" s="5">
        <f t="shared" ref="L44:L53" si="14">AVERAGE(B44:K44)</f>
        <v>3797988.0866338583</v>
      </c>
    </row>
    <row r="45" spans="1:12" x14ac:dyDescent="0.25">
      <c r="A45" s="4" t="s">
        <v>11</v>
      </c>
      <c r="B45" s="5">
        <f>'Limpopo-Olifants CMA'!B75+'Inkomati-Pongola CMA'!B75+'Mkuze-Mtamvuna CMA'!B75+'Vaal-Orange CMA'!B75+'Mzimvubu-Tsitsikamma CMA'!B75+'Breede-Olifants CMA'!B75</f>
        <v>0</v>
      </c>
      <c r="C45" s="5">
        <f>'Limpopo-Olifants CMA'!C75+'Inkomati-Pongola CMA'!C75+'Mkuze-Mtamvuna CMA'!C75+'Vaal-Orange CMA'!C75+'Mzimvubu-Tsitsikamma CMA'!C75+'Breede-Olifants CMA'!C75</f>
        <v>0</v>
      </c>
      <c r="D45" s="5">
        <f>'Limpopo-Olifants CMA'!D75+'Inkomati-Pongola CMA'!D75+'Mkuze-Mtamvuna CMA'!D75+'Vaal-Orange CMA'!D75+'Mzimvubu-Tsitsikamma CMA'!D75+'Breede-Olifants CMA'!D75</f>
        <v>0</v>
      </c>
      <c r="E45" s="5">
        <f>'Limpopo-Olifants CMA'!E75+'Inkomati-Pongola CMA'!E75+'Mkuze-Mtamvuna CMA'!E75+'Vaal-Orange CMA'!E75+'Mzimvubu-Tsitsikamma CMA'!E75+'Breede-Olifants CMA'!E75</f>
        <v>0</v>
      </c>
      <c r="F45" s="5">
        <f>'Limpopo-Olifants CMA'!F75+'Inkomati-Pongola CMA'!F75+'Mkuze-Mtamvuna CMA'!F75+'Vaal-Orange CMA'!F75+'Mzimvubu-Tsitsikamma CMA'!F75+'Breede-Olifants CMA'!F75</f>
        <v>0</v>
      </c>
      <c r="G45" s="5">
        <f>'Limpopo-Olifants CMA'!G75+'Inkomati-Pongola CMA'!G75+'Mkuze-Mtamvuna CMA'!G75+'Vaal-Orange CMA'!G75+'Mzimvubu-Tsitsikamma CMA'!G75+'Breede-Olifants CMA'!G75</f>
        <v>0</v>
      </c>
      <c r="H45" s="5">
        <f>'Limpopo-Olifants CMA'!H75+'Inkomati-Pongola CMA'!H75+'Mkuze-Mtamvuna CMA'!H75+'Vaal-Orange CMA'!H75+'Mzimvubu-Tsitsikamma CMA'!H75+'Breede-Olifants CMA'!H75</f>
        <v>0</v>
      </c>
      <c r="I45" s="5">
        <f>'Limpopo-Olifants CMA'!I75+'Inkomati-Pongola CMA'!I75+'Mkuze-Mtamvuna CMA'!I75+'Vaal-Orange CMA'!I75+'Mzimvubu-Tsitsikamma CMA'!I75+'Breede-Olifants CMA'!I75</f>
        <v>0</v>
      </c>
      <c r="J45" s="5">
        <f>'Limpopo-Olifants CMA'!J75+'Inkomati-Pongola CMA'!J75+'Mkuze-Mtamvuna CMA'!J75+'Vaal-Orange CMA'!J75+'Mzimvubu-Tsitsikamma CMA'!J75+'Breede-Olifants CMA'!J75</f>
        <v>0</v>
      </c>
      <c r="K45" s="5">
        <f>'Limpopo-Olifants CMA'!K75+'Inkomati-Pongola CMA'!K75+'Mkuze-Mtamvuna CMA'!K75+'Vaal-Orange CMA'!K75+'Mzimvubu-Tsitsikamma CMA'!K75+'Breede-Olifants CMA'!K75</f>
        <v>0</v>
      </c>
      <c r="L45" s="5">
        <f t="shared" si="14"/>
        <v>0</v>
      </c>
    </row>
    <row r="46" spans="1:12" x14ac:dyDescent="0.25">
      <c r="A46" s="4" t="s">
        <v>124</v>
      </c>
      <c r="B46" s="5">
        <f>'Limpopo-Olifants CMA'!B76+'Inkomati-Pongola CMA'!B76+'Mkuze-Mtamvuna CMA'!B76+'Vaal-Orange CMA'!B76+'Mzimvubu-Tsitsikamma CMA'!B76+'Breede-Olifants CMA'!B76</f>
        <v>11035896.165774161</v>
      </c>
      <c r="C46" s="5">
        <f>'Limpopo-Olifants CMA'!C76+'Inkomati-Pongola CMA'!C76+'Mkuze-Mtamvuna CMA'!C76+'Vaal-Orange CMA'!C76+'Mzimvubu-Tsitsikamma CMA'!C76+'Breede-Olifants CMA'!C76</f>
        <v>11035896.165774161</v>
      </c>
      <c r="D46" s="5">
        <f>'Limpopo-Olifants CMA'!D76+'Inkomati-Pongola CMA'!D76+'Mkuze-Mtamvuna CMA'!D76+'Vaal-Orange CMA'!D76+'Mzimvubu-Tsitsikamma CMA'!D76+'Breede-Olifants CMA'!D76</f>
        <v>11035896.165774161</v>
      </c>
      <c r="E46" s="5">
        <f>'Limpopo-Olifants CMA'!E76+'Inkomati-Pongola CMA'!E76+'Mkuze-Mtamvuna CMA'!E76+'Vaal-Orange CMA'!E76+'Mzimvubu-Tsitsikamma CMA'!E76+'Breede-Olifants CMA'!E76</f>
        <v>11035896.165774161</v>
      </c>
      <c r="F46" s="5">
        <f>'Limpopo-Olifants CMA'!F76+'Inkomati-Pongola CMA'!F76+'Mkuze-Mtamvuna CMA'!F76+'Vaal-Orange CMA'!F76+'Mzimvubu-Tsitsikamma CMA'!F76+'Breede-Olifants CMA'!F76</f>
        <v>11035896.165774161</v>
      </c>
      <c r="G46" s="5">
        <f>'Limpopo-Olifants CMA'!G76+'Inkomati-Pongola CMA'!G76+'Mkuze-Mtamvuna CMA'!G76+'Vaal-Orange CMA'!G76+'Mzimvubu-Tsitsikamma CMA'!G76+'Breede-Olifants CMA'!G76</f>
        <v>11035896.165774161</v>
      </c>
      <c r="H46" s="5">
        <f>'Limpopo-Olifants CMA'!H76+'Inkomati-Pongola CMA'!H76+'Mkuze-Mtamvuna CMA'!H76+'Vaal-Orange CMA'!H76+'Mzimvubu-Tsitsikamma CMA'!H76+'Breede-Olifants CMA'!H76</f>
        <v>11035896.165774161</v>
      </c>
      <c r="I46" s="5">
        <f>'Limpopo-Olifants CMA'!I76+'Inkomati-Pongola CMA'!I76+'Mkuze-Mtamvuna CMA'!I76+'Vaal-Orange CMA'!I76+'Mzimvubu-Tsitsikamma CMA'!I76+'Breede-Olifants CMA'!I76</f>
        <v>11035896.165774161</v>
      </c>
      <c r="J46" s="5">
        <f>'Limpopo-Olifants CMA'!J76+'Inkomati-Pongola CMA'!J76+'Mkuze-Mtamvuna CMA'!J76+'Vaal-Orange CMA'!J76+'Mzimvubu-Tsitsikamma CMA'!J76+'Breede-Olifants CMA'!J76</f>
        <v>11035896.165774161</v>
      </c>
      <c r="K46" s="5">
        <f>'Limpopo-Olifants CMA'!K76+'Inkomati-Pongola CMA'!K76+'Mkuze-Mtamvuna CMA'!K76+'Vaal-Orange CMA'!K76+'Mzimvubu-Tsitsikamma CMA'!K76+'Breede-Olifants CMA'!K76</f>
        <v>11035896.165774161</v>
      </c>
      <c r="L46" s="5">
        <f t="shared" si="14"/>
        <v>11035896.165774163</v>
      </c>
    </row>
    <row r="47" spans="1:12" x14ac:dyDescent="0.25">
      <c r="A47" s="4" t="s">
        <v>12</v>
      </c>
      <c r="B47" s="5">
        <f>'Limpopo-Olifants CMA'!B77+'Inkomati-Pongola CMA'!B77+'Mkuze-Mtamvuna CMA'!B77+'Vaal-Orange CMA'!B77+'Mzimvubu-Tsitsikamma CMA'!B77+'Breede-Olifants CMA'!B77</f>
        <v>0</v>
      </c>
      <c r="C47" s="5">
        <f>'Limpopo-Olifants CMA'!C77+'Inkomati-Pongola CMA'!C77+'Mkuze-Mtamvuna CMA'!C77+'Vaal-Orange CMA'!C77+'Mzimvubu-Tsitsikamma CMA'!C77+'Breede-Olifants CMA'!C77</f>
        <v>0</v>
      </c>
      <c r="D47" s="5">
        <f>'Limpopo-Olifants CMA'!D77+'Inkomati-Pongola CMA'!D77+'Mkuze-Mtamvuna CMA'!D77+'Vaal-Orange CMA'!D77+'Mzimvubu-Tsitsikamma CMA'!D77+'Breede-Olifants CMA'!D77</f>
        <v>0</v>
      </c>
      <c r="E47" s="5">
        <f>'Limpopo-Olifants CMA'!E77+'Inkomati-Pongola CMA'!E77+'Mkuze-Mtamvuna CMA'!E77+'Vaal-Orange CMA'!E77+'Mzimvubu-Tsitsikamma CMA'!E77+'Breede-Olifants CMA'!E77</f>
        <v>0</v>
      </c>
      <c r="F47" s="5">
        <f>'Limpopo-Olifants CMA'!F77+'Inkomati-Pongola CMA'!F77+'Mkuze-Mtamvuna CMA'!F77+'Vaal-Orange CMA'!F77+'Mzimvubu-Tsitsikamma CMA'!F77+'Breede-Olifants CMA'!F77</f>
        <v>0</v>
      </c>
      <c r="G47" s="5">
        <f>'Limpopo-Olifants CMA'!G77+'Inkomati-Pongola CMA'!G77+'Mkuze-Mtamvuna CMA'!G77+'Vaal-Orange CMA'!G77+'Mzimvubu-Tsitsikamma CMA'!G77+'Breede-Olifants CMA'!G77</f>
        <v>0</v>
      </c>
      <c r="H47" s="5">
        <f>'Limpopo-Olifants CMA'!H77+'Inkomati-Pongola CMA'!H77+'Mkuze-Mtamvuna CMA'!H77+'Vaal-Orange CMA'!H77+'Mzimvubu-Tsitsikamma CMA'!H77+'Breede-Olifants CMA'!H77</f>
        <v>0</v>
      </c>
      <c r="I47" s="5">
        <f>'Limpopo-Olifants CMA'!I77+'Inkomati-Pongola CMA'!I77+'Mkuze-Mtamvuna CMA'!I77+'Vaal-Orange CMA'!I77+'Mzimvubu-Tsitsikamma CMA'!I77+'Breede-Olifants CMA'!I77</f>
        <v>0</v>
      </c>
      <c r="J47" s="5">
        <f>'Limpopo-Olifants CMA'!J77+'Inkomati-Pongola CMA'!J77+'Mkuze-Mtamvuna CMA'!J77+'Vaal-Orange CMA'!J77+'Mzimvubu-Tsitsikamma CMA'!J77+'Breede-Olifants CMA'!J77</f>
        <v>0</v>
      </c>
      <c r="K47" s="5">
        <f>'Limpopo-Olifants CMA'!K77+'Inkomati-Pongola CMA'!K77+'Mkuze-Mtamvuna CMA'!K77+'Vaal-Orange CMA'!K77+'Mzimvubu-Tsitsikamma CMA'!K77+'Breede-Olifants CMA'!K77</f>
        <v>0</v>
      </c>
      <c r="L47" s="5">
        <f t="shared" si="14"/>
        <v>0</v>
      </c>
    </row>
    <row r="48" spans="1:12" x14ac:dyDescent="0.25">
      <c r="A48" s="4" t="s">
        <v>13</v>
      </c>
      <c r="B48" s="5">
        <f>'Limpopo-Olifants CMA'!B78+'Inkomati-Pongola CMA'!B78+'Mkuze-Mtamvuna CMA'!B78+'Vaal-Orange CMA'!B78+'Mzimvubu-Tsitsikamma CMA'!B78+'Breede-Olifants CMA'!B78</f>
        <v>1015676.5824989905</v>
      </c>
      <c r="C48" s="5">
        <f>'Limpopo-Olifants CMA'!C78+'Inkomati-Pongola CMA'!C78+'Mkuze-Mtamvuna CMA'!C78+'Vaal-Orange CMA'!C78+'Mzimvubu-Tsitsikamma CMA'!C78+'Breede-Olifants CMA'!C78</f>
        <v>1015676.5824989905</v>
      </c>
      <c r="D48" s="5">
        <f>'Limpopo-Olifants CMA'!D78+'Inkomati-Pongola CMA'!D78+'Mkuze-Mtamvuna CMA'!D78+'Vaal-Orange CMA'!D78+'Mzimvubu-Tsitsikamma CMA'!D78+'Breede-Olifants CMA'!D78</f>
        <v>1015676.5824989905</v>
      </c>
      <c r="E48" s="5">
        <f>'Limpopo-Olifants CMA'!E78+'Inkomati-Pongola CMA'!E78+'Mkuze-Mtamvuna CMA'!E78+'Vaal-Orange CMA'!E78+'Mzimvubu-Tsitsikamma CMA'!E78+'Breede-Olifants CMA'!E78</f>
        <v>1015676.5824989905</v>
      </c>
      <c r="F48" s="5">
        <f>'Limpopo-Olifants CMA'!F78+'Inkomati-Pongola CMA'!F78+'Mkuze-Mtamvuna CMA'!F78+'Vaal-Orange CMA'!F78+'Mzimvubu-Tsitsikamma CMA'!F78+'Breede-Olifants CMA'!F78</f>
        <v>1015676.5824989905</v>
      </c>
      <c r="G48" s="5">
        <f>'Limpopo-Olifants CMA'!G78+'Inkomati-Pongola CMA'!G78+'Mkuze-Mtamvuna CMA'!G78+'Vaal-Orange CMA'!G78+'Mzimvubu-Tsitsikamma CMA'!G78+'Breede-Olifants CMA'!G78</f>
        <v>1015676.5824989905</v>
      </c>
      <c r="H48" s="5">
        <f>'Limpopo-Olifants CMA'!H78+'Inkomati-Pongola CMA'!H78+'Mkuze-Mtamvuna CMA'!H78+'Vaal-Orange CMA'!H78+'Mzimvubu-Tsitsikamma CMA'!H78+'Breede-Olifants CMA'!H78</f>
        <v>1015676.5824989905</v>
      </c>
      <c r="I48" s="5">
        <f>'Limpopo-Olifants CMA'!I78+'Inkomati-Pongola CMA'!I78+'Mkuze-Mtamvuna CMA'!I78+'Vaal-Orange CMA'!I78+'Mzimvubu-Tsitsikamma CMA'!I78+'Breede-Olifants CMA'!I78</f>
        <v>1015676.5824989905</v>
      </c>
      <c r="J48" s="5">
        <f>'Limpopo-Olifants CMA'!J78+'Inkomati-Pongola CMA'!J78+'Mkuze-Mtamvuna CMA'!J78+'Vaal-Orange CMA'!J78+'Mzimvubu-Tsitsikamma CMA'!J78+'Breede-Olifants CMA'!J78</f>
        <v>1015676.5824989905</v>
      </c>
      <c r="K48" s="5">
        <f>'Limpopo-Olifants CMA'!K78+'Inkomati-Pongola CMA'!K78+'Mkuze-Mtamvuna CMA'!K78+'Vaal-Orange CMA'!K78+'Mzimvubu-Tsitsikamma CMA'!K78+'Breede-Olifants CMA'!K78</f>
        <v>1015676.5824989905</v>
      </c>
      <c r="L48" s="5">
        <f t="shared" si="14"/>
        <v>1015676.5824989902</v>
      </c>
    </row>
    <row r="49" spans="1:12" x14ac:dyDescent="0.25">
      <c r="A49" s="4" t="s">
        <v>14</v>
      </c>
      <c r="B49" s="5">
        <f>'Limpopo-Olifants CMA'!B79+'Inkomati-Pongola CMA'!B79+'Mkuze-Mtamvuna CMA'!B79+'Vaal-Orange CMA'!B79+'Mzimvubu-Tsitsikamma CMA'!B79+'Breede-Olifants CMA'!B79</f>
        <v>0</v>
      </c>
      <c r="C49" s="5">
        <f>'Limpopo-Olifants CMA'!C79+'Inkomati-Pongola CMA'!C79+'Mkuze-Mtamvuna CMA'!C79+'Vaal-Orange CMA'!C79+'Mzimvubu-Tsitsikamma CMA'!C79+'Breede-Olifants CMA'!C79</f>
        <v>0</v>
      </c>
      <c r="D49" s="5">
        <f>'Limpopo-Olifants CMA'!D79+'Inkomati-Pongola CMA'!D79+'Mkuze-Mtamvuna CMA'!D79+'Vaal-Orange CMA'!D79+'Mzimvubu-Tsitsikamma CMA'!D79+'Breede-Olifants CMA'!D79</f>
        <v>0</v>
      </c>
      <c r="E49" s="5">
        <f>'Limpopo-Olifants CMA'!E79+'Inkomati-Pongola CMA'!E79+'Mkuze-Mtamvuna CMA'!E79+'Vaal-Orange CMA'!E79+'Mzimvubu-Tsitsikamma CMA'!E79+'Breede-Olifants CMA'!E79</f>
        <v>0</v>
      </c>
      <c r="F49" s="5">
        <f>'Limpopo-Olifants CMA'!F79+'Inkomati-Pongola CMA'!F79+'Mkuze-Mtamvuna CMA'!F79+'Vaal-Orange CMA'!F79+'Mzimvubu-Tsitsikamma CMA'!F79+'Breede-Olifants CMA'!F79</f>
        <v>0</v>
      </c>
      <c r="G49" s="5">
        <f>'Limpopo-Olifants CMA'!G79+'Inkomati-Pongola CMA'!G79+'Mkuze-Mtamvuna CMA'!G79+'Vaal-Orange CMA'!G79+'Mzimvubu-Tsitsikamma CMA'!G79+'Breede-Olifants CMA'!G79</f>
        <v>0</v>
      </c>
      <c r="H49" s="5">
        <f>'Limpopo-Olifants CMA'!H79+'Inkomati-Pongola CMA'!H79+'Mkuze-Mtamvuna CMA'!H79+'Vaal-Orange CMA'!H79+'Mzimvubu-Tsitsikamma CMA'!H79+'Breede-Olifants CMA'!H79</f>
        <v>0</v>
      </c>
      <c r="I49" s="5">
        <f>'Limpopo-Olifants CMA'!I79+'Inkomati-Pongola CMA'!I79+'Mkuze-Mtamvuna CMA'!I79+'Vaal-Orange CMA'!I79+'Mzimvubu-Tsitsikamma CMA'!I79+'Breede-Olifants CMA'!I79</f>
        <v>0</v>
      </c>
      <c r="J49" s="5">
        <f>'Limpopo-Olifants CMA'!J79+'Inkomati-Pongola CMA'!J79+'Mkuze-Mtamvuna CMA'!J79+'Vaal-Orange CMA'!J79+'Mzimvubu-Tsitsikamma CMA'!J79+'Breede-Olifants CMA'!J79</f>
        <v>0</v>
      </c>
      <c r="K49" s="5">
        <f>'Limpopo-Olifants CMA'!K79+'Inkomati-Pongola CMA'!K79+'Mkuze-Mtamvuna CMA'!K79+'Vaal-Orange CMA'!K79+'Mzimvubu-Tsitsikamma CMA'!K79+'Breede-Olifants CMA'!K79</f>
        <v>0</v>
      </c>
      <c r="L49" s="5">
        <f t="shared" si="14"/>
        <v>0</v>
      </c>
    </row>
    <row r="50" spans="1:12" x14ac:dyDescent="0.25">
      <c r="A50" s="4" t="s">
        <v>125</v>
      </c>
      <c r="B50" s="5">
        <f>'Limpopo-Olifants CMA'!B80+'Inkomati-Pongola CMA'!B80+'Mkuze-Mtamvuna CMA'!B80+'Vaal-Orange CMA'!B80+'Mzimvubu-Tsitsikamma CMA'!B80+'Breede-Olifants CMA'!B80</f>
        <v>4333790.2018960817</v>
      </c>
      <c r="C50" s="5">
        <f>'Limpopo-Olifants CMA'!C80+'Inkomati-Pongola CMA'!C80+'Mkuze-Mtamvuna CMA'!C80+'Vaal-Orange CMA'!C80+'Mzimvubu-Tsitsikamma CMA'!C80+'Breede-Olifants CMA'!C80</f>
        <v>4333790.2018960817</v>
      </c>
      <c r="D50" s="5">
        <f>'Limpopo-Olifants CMA'!D80+'Inkomati-Pongola CMA'!D80+'Mkuze-Mtamvuna CMA'!D80+'Vaal-Orange CMA'!D80+'Mzimvubu-Tsitsikamma CMA'!D80+'Breede-Olifants CMA'!D80</f>
        <v>4333790.2018960817</v>
      </c>
      <c r="E50" s="5">
        <f>'Limpopo-Olifants CMA'!E80+'Inkomati-Pongola CMA'!E80+'Mkuze-Mtamvuna CMA'!E80+'Vaal-Orange CMA'!E80+'Mzimvubu-Tsitsikamma CMA'!E80+'Breede-Olifants CMA'!E80</f>
        <v>4333790.2018960817</v>
      </c>
      <c r="F50" s="5">
        <f>'Limpopo-Olifants CMA'!F80+'Inkomati-Pongola CMA'!F80+'Mkuze-Mtamvuna CMA'!F80+'Vaal-Orange CMA'!F80+'Mzimvubu-Tsitsikamma CMA'!F80+'Breede-Olifants CMA'!F80</f>
        <v>4333790.2018960817</v>
      </c>
      <c r="G50" s="5">
        <f>'Limpopo-Olifants CMA'!G80+'Inkomati-Pongola CMA'!G80+'Mkuze-Mtamvuna CMA'!G80+'Vaal-Orange CMA'!G80+'Mzimvubu-Tsitsikamma CMA'!G80+'Breede-Olifants CMA'!G80</f>
        <v>4333790.2018960817</v>
      </c>
      <c r="H50" s="5">
        <f>'Limpopo-Olifants CMA'!H80+'Inkomati-Pongola CMA'!H80+'Mkuze-Mtamvuna CMA'!H80+'Vaal-Orange CMA'!H80+'Mzimvubu-Tsitsikamma CMA'!H80+'Breede-Olifants CMA'!H80</f>
        <v>4333790.2018960817</v>
      </c>
      <c r="I50" s="5">
        <f>'Limpopo-Olifants CMA'!I80+'Inkomati-Pongola CMA'!I80+'Mkuze-Mtamvuna CMA'!I80+'Vaal-Orange CMA'!I80+'Mzimvubu-Tsitsikamma CMA'!I80+'Breede-Olifants CMA'!I80</f>
        <v>4333790.2018960817</v>
      </c>
      <c r="J50" s="5">
        <f>'Limpopo-Olifants CMA'!J80+'Inkomati-Pongola CMA'!J80+'Mkuze-Mtamvuna CMA'!J80+'Vaal-Orange CMA'!J80+'Mzimvubu-Tsitsikamma CMA'!J80+'Breede-Olifants CMA'!J80</f>
        <v>4333790.2018960817</v>
      </c>
      <c r="K50" s="5">
        <f>'Limpopo-Olifants CMA'!K80+'Inkomati-Pongola CMA'!K80+'Mkuze-Mtamvuna CMA'!K80+'Vaal-Orange CMA'!K80+'Mzimvubu-Tsitsikamma CMA'!K80+'Breede-Olifants CMA'!K80</f>
        <v>4333790.2018960817</v>
      </c>
      <c r="L50" s="5">
        <f t="shared" si="14"/>
        <v>4333790.2018960807</v>
      </c>
    </row>
    <row r="51" spans="1:12" x14ac:dyDescent="0.25">
      <c r="A51" s="4" t="s">
        <v>37</v>
      </c>
      <c r="B51" s="5">
        <f>'Limpopo-Olifants CMA'!B81+'Inkomati-Pongola CMA'!B81+'Mkuze-Mtamvuna CMA'!B81+'Vaal-Orange CMA'!B81+'Mzimvubu-Tsitsikamma CMA'!B81+'Breede-Olifants CMA'!B81</f>
        <v>90341987.254230738</v>
      </c>
      <c r="C51" s="5">
        <f>'Limpopo-Olifants CMA'!C81+'Inkomati-Pongola CMA'!C81+'Mkuze-Mtamvuna CMA'!C81+'Vaal-Orange CMA'!C81+'Mzimvubu-Tsitsikamma CMA'!C81+'Breede-Olifants CMA'!C81</f>
        <v>90341987.254230738</v>
      </c>
      <c r="D51" s="5">
        <f>'Limpopo-Olifants CMA'!D81+'Inkomati-Pongola CMA'!D81+'Mkuze-Mtamvuna CMA'!D81+'Vaal-Orange CMA'!D81+'Mzimvubu-Tsitsikamma CMA'!D81+'Breede-Olifants CMA'!D81</f>
        <v>90341987.254230738</v>
      </c>
      <c r="E51" s="5">
        <f>'Limpopo-Olifants CMA'!E81+'Inkomati-Pongola CMA'!E81+'Mkuze-Mtamvuna CMA'!E81+'Vaal-Orange CMA'!E81+'Mzimvubu-Tsitsikamma CMA'!E81+'Breede-Olifants CMA'!E81</f>
        <v>90341987.254230738</v>
      </c>
      <c r="F51" s="5">
        <f>'Limpopo-Olifants CMA'!F81+'Inkomati-Pongola CMA'!F81+'Mkuze-Mtamvuna CMA'!F81+'Vaal-Orange CMA'!F81+'Mzimvubu-Tsitsikamma CMA'!F81+'Breede-Olifants CMA'!F81</f>
        <v>90341987.254230738</v>
      </c>
      <c r="G51" s="5">
        <f>'Limpopo-Olifants CMA'!G81+'Inkomati-Pongola CMA'!G81+'Mkuze-Mtamvuna CMA'!G81+'Vaal-Orange CMA'!G81+'Mzimvubu-Tsitsikamma CMA'!G81+'Breede-Olifants CMA'!G81</f>
        <v>90341987.254230738</v>
      </c>
      <c r="H51" s="5">
        <f>'Limpopo-Olifants CMA'!H81+'Inkomati-Pongola CMA'!H81+'Mkuze-Mtamvuna CMA'!H81+'Vaal-Orange CMA'!H81+'Mzimvubu-Tsitsikamma CMA'!H81+'Breede-Olifants CMA'!H81</f>
        <v>90341987.254230738</v>
      </c>
      <c r="I51" s="5">
        <f>'Limpopo-Olifants CMA'!I81+'Inkomati-Pongola CMA'!I81+'Mkuze-Mtamvuna CMA'!I81+'Vaal-Orange CMA'!I81+'Mzimvubu-Tsitsikamma CMA'!I81+'Breede-Olifants CMA'!I81</f>
        <v>90341987.254230738</v>
      </c>
      <c r="J51" s="5">
        <f>'Limpopo-Olifants CMA'!J81+'Inkomati-Pongola CMA'!J81+'Mkuze-Mtamvuna CMA'!J81+'Vaal-Orange CMA'!J81+'Mzimvubu-Tsitsikamma CMA'!J81+'Breede-Olifants CMA'!J81</f>
        <v>90341987.254230738</v>
      </c>
      <c r="K51" s="5">
        <f>'Limpopo-Olifants CMA'!K81+'Inkomati-Pongola CMA'!K81+'Mkuze-Mtamvuna CMA'!K81+'Vaal-Orange CMA'!K81+'Mzimvubu-Tsitsikamma CMA'!K81+'Breede-Olifants CMA'!K81</f>
        <v>90341987.254230738</v>
      </c>
      <c r="L51" s="5">
        <f t="shared" si="14"/>
        <v>90341987.254230738</v>
      </c>
    </row>
    <row r="52" spans="1:12" x14ac:dyDescent="0.25">
      <c r="A52" s="4" t="s">
        <v>38</v>
      </c>
      <c r="B52" s="5">
        <f>'Limpopo-Olifants CMA'!B82+'Inkomati-Pongola CMA'!B82+'Mkuze-Mtamvuna CMA'!B82+'Vaal-Orange CMA'!B82+'Mzimvubu-Tsitsikamma CMA'!B82+'Breede-Olifants CMA'!B82</f>
        <v>0</v>
      </c>
      <c r="C52" s="5">
        <f>'Limpopo-Olifants CMA'!C82+'Inkomati-Pongola CMA'!C82+'Mkuze-Mtamvuna CMA'!C82+'Vaal-Orange CMA'!C82+'Mzimvubu-Tsitsikamma CMA'!C82+'Breede-Olifants CMA'!C82</f>
        <v>0</v>
      </c>
      <c r="D52" s="5">
        <f>'Limpopo-Olifants CMA'!D82+'Inkomati-Pongola CMA'!D82+'Mkuze-Mtamvuna CMA'!D82+'Vaal-Orange CMA'!D82+'Mzimvubu-Tsitsikamma CMA'!D82+'Breede-Olifants CMA'!D82</f>
        <v>0</v>
      </c>
      <c r="E52" s="5">
        <f>'Limpopo-Olifants CMA'!E82+'Inkomati-Pongola CMA'!E82+'Mkuze-Mtamvuna CMA'!E82+'Vaal-Orange CMA'!E82+'Mzimvubu-Tsitsikamma CMA'!E82+'Breede-Olifants CMA'!E82</f>
        <v>0</v>
      </c>
      <c r="F52" s="5">
        <f>'Limpopo-Olifants CMA'!F82+'Inkomati-Pongola CMA'!F82+'Mkuze-Mtamvuna CMA'!F82+'Vaal-Orange CMA'!F82+'Mzimvubu-Tsitsikamma CMA'!F82+'Breede-Olifants CMA'!F82</f>
        <v>0</v>
      </c>
      <c r="G52" s="5">
        <f>'Limpopo-Olifants CMA'!G82+'Inkomati-Pongola CMA'!G82+'Mkuze-Mtamvuna CMA'!G82+'Vaal-Orange CMA'!G82+'Mzimvubu-Tsitsikamma CMA'!G82+'Breede-Olifants CMA'!G82</f>
        <v>0</v>
      </c>
      <c r="H52" s="5">
        <f>'Limpopo-Olifants CMA'!H82+'Inkomati-Pongola CMA'!H82+'Mkuze-Mtamvuna CMA'!H82+'Vaal-Orange CMA'!H82+'Mzimvubu-Tsitsikamma CMA'!H82+'Breede-Olifants CMA'!H82</f>
        <v>0</v>
      </c>
      <c r="I52" s="5">
        <f>'Limpopo-Olifants CMA'!I82+'Inkomati-Pongola CMA'!I82+'Mkuze-Mtamvuna CMA'!I82+'Vaal-Orange CMA'!I82+'Mzimvubu-Tsitsikamma CMA'!I82+'Breede-Olifants CMA'!I82</f>
        <v>0</v>
      </c>
      <c r="J52" s="5">
        <f>'Limpopo-Olifants CMA'!J82+'Inkomati-Pongola CMA'!J82+'Mkuze-Mtamvuna CMA'!J82+'Vaal-Orange CMA'!J82+'Mzimvubu-Tsitsikamma CMA'!J82+'Breede-Olifants CMA'!J82</f>
        <v>0</v>
      </c>
      <c r="K52" s="5">
        <f>'Limpopo-Olifants CMA'!K82+'Inkomati-Pongola CMA'!K82+'Mkuze-Mtamvuna CMA'!K82+'Vaal-Orange CMA'!K82+'Mzimvubu-Tsitsikamma CMA'!K82+'Breede-Olifants CMA'!K82</f>
        <v>0</v>
      </c>
      <c r="L52" s="5">
        <f t="shared" si="14"/>
        <v>0</v>
      </c>
    </row>
    <row r="53" spans="1:12" x14ac:dyDescent="0.25">
      <c r="A53" s="4" t="s">
        <v>15</v>
      </c>
      <c r="B53" s="13">
        <f>'Limpopo-Olifants CMA'!B83+'Inkomati-Pongola CMA'!B83+'Mkuze-Mtamvuna CMA'!B83+'Vaal-Orange CMA'!B83+'Mzimvubu-Tsitsikamma CMA'!B83+'Breede-Olifants CMA'!B83</f>
        <v>48734269.036966309</v>
      </c>
      <c r="C53" s="13">
        <f>'Limpopo-Olifants CMA'!C83+'Inkomati-Pongola CMA'!C83+'Mkuze-Mtamvuna CMA'!C83+'Vaal-Orange CMA'!C83+'Mzimvubu-Tsitsikamma CMA'!C83+'Breede-Olifants CMA'!C83</f>
        <v>48734269.036966309</v>
      </c>
      <c r="D53" s="13">
        <f>'Limpopo-Olifants CMA'!D83+'Inkomati-Pongola CMA'!D83+'Mkuze-Mtamvuna CMA'!D83+'Vaal-Orange CMA'!D83+'Mzimvubu-Tsitsikamma CMA'!D83+'Breede-Olifants CMA'!D83</f>
        <v>48734269.036966309</v>
      </c>
      <c r="E53" s="13">
        <f>'Limpopo-Olifants CMA'!E83+'Inkomati-Pongola CMA'!E83+'Mkuze-Mtamvuna CMA'!E83+'Vaal-Orange CMA'!E83+'Mzimvubu-Tsitsikamma CMA'!E83+'Breede-Olifants CMA'!E83</f>
        <v>48734269.036966309</v>
      </c>
      <c r="F53" s="13">
        <f>'Limpopo-Olifants CMA'!F83+'Inkomati-Pongola CMA'!F83+'Mkuze-Mtamvuna CMA'!F83+'Vaal-Orange CMA'!F83+'Mzimvubu-Tsitsikamma CMA'!F83+'Breede-Olifants CMA'!F83</f>
        <v>48734269.036966309</v>
      </c>
      <c r="G53" s="13">
        <f>'Limpopo-Olifants CMA'!G83+'Inkomati-Pongola CMA'!G83+'Mkuze-Mtamvuna CMA'!G83+'Vaal-Orange CMA'!G83+'Mzimvubu-Tsitsikamma CMA'!G83+'Breede-Olifants CMA'!G83</f>
        <v>48734269.036966309</v>
      </c>
      <c r="H53" s="13">
        <f>'Limpopo-Olifants CMA'!H83+'Inkomati-Pongola CMA'!H83+'Mkuze-Mtamvuna CMA'!H83+'Vaal-Orange CMA'!H83+'Mzimvubu-Tsitsikamma CMA'!H83+'Breede-Olifants CMA'!H83</f>
        <v>48734269.036966309</v>
      </c>
      <c r="I53" s="13">
        <f>'Limpopo-Olifants CMA'!I83+'Inkomati-Pongola CMA'!I83+'Mkuze-Mtamvuna CMA'!I83+'Vaal-Orange CMA'!I83+'Mzimvubu-Tsitsikamma CMA'!I83+'Breede-Olifants CMA'!I83</f>
        <v>48734269.036966309</v>
      </c>
      <c r="J53" s="13">
        <f>'Limpopo-Olifants CMA'!J83+'Inkomati-Pongola CMA'!J83+'Mkuze-Mtamvuna CMA'!J83+'Vaal-Orange CMA'!J83+'Mzimvubu-Tsitsikamma CMA'!J83+'Breede-Olifants CMA'!J83</f>
        <v>48734269.036966309</v>
      </c>
      <c r="K53" s="13">
        <f>'Limpopo-Olifants CMA'!K83+'Inkomati-Pongola CMA'!K83+'Mkuze-Mtamvuna CMA'!K83+'Vaal-Orange CMA'!K83+'Mzimvubu-Tsitsikamma CMA'!K83+'Breede-Olifants CMA'!K83</f>
        <v>48734269.036966309</v>
      </c>
      <c r="L53" s="5">
        <f t="shared" si="14"/>
        <v>48734269.036966316</v>
      </c>
    </row>
    <row r="54" spans="1:12" x14ac:dyDescent="0.25">
      <c r="B54" s="5">
        <f>SUM(B43:B53)</f>
        <v>198751010.07937026</v>
      </c>
      <c r="C54" s="5">
        <f t="shared" ref="C54:K54" si="15">SUM(C43:C53)</f>
        <v>198751010.07937026</v>
      </c>
      <c r="D54" s="5">
        <f t="shared" si="15"/>
        <v>198751010.07937026</v>
      </c>
      <c r="E54" s="5">
        <f t="shared" si="15"/>
        <v>198751010.07937026</v>
      </c>
      <c r="F54" s="5">
        <f t="shared" si="15"/>
        <v>198751010.07937026</v>
      </c>
      <c r="G54" s="5">
        <f t="shared" si="15"/>
        <v>198751010.07937026</v>
      </c>
      <c r="H54" s="5">
        <f t="shared" si="15"/>
        <v>198751010.07937026</v>
      </c>
      <c r="I54" s="5">
        <f t="shared" si="15"/>
        <v>198751010.07937026</v>
      </c>
      <c r="J54" s="5">
        <f t="shared" si="15"/>
        <v>198751010.07937026</v>
      </c>
      <c r="K54" s="5">
        <f t="shared" si="15"/>
        <v>198751010.07937026</v>
      </c>
      <c r="L54" s="5"/>
    </row>
    <row r="56" spans="1:12" ht="30" x14ac:dyDescent="0.25">
      <c r="A56" s="15" t="s">
        <v>58</v>
      </c>
      <c r="B56" s="12" t="str">
        <f>B27</f>
        <v>2023</v>
      </c>
      <c r="C56" s="12">
        <f t="shared" ref="C56:K56" si="16">B56+1</f>
        <v>2024</v>
      </c>
      <c r="D56" s="12">
        <f t="shared" si="16"/>
        <v>2025</v>
      </c>
      <c r="E56" s="12">
        <f t="shared" si="16"/>
        <v>2026</v>
      </c>
      <c r="F56" s="12">
        <f t="shared" si="16"/>
        <v>2027</v>
      </c>
      <c r="G56" s="12">
        <f t="shared" si="16"/>
        <v>2028</v>
      </c>
      <c r="H56" s="12">
        <f t="shared" si="16"/>
        <v>2029</v>
      </c>
      <c r="I56" s="12">
        <f t="shared" si="16"/>
        <v>2030</v>
      </c>
      <c r="J56" s="12">
        <f t="shared" si="16"/>
        <v>2031</v>
      </c>
      <c r="K56" s="12">
        <f t="shared" si="16"/>
        <v>2032</v>
      </c>
      <c r="L56" s="1" t="s">
        <v>28</v>
      </c>
    </row>
    <row r="57" spans="1:12" x14ac:dyDescent="0.25">
      <c r="A57" s="4" t="s">
        <v>35</v>
      </c>
      <c r="B57" s="5">
        <f>(B43+B28)/2</f>
        <v>46419719.02354034</v>
      </c>
      <c r="C57" s="5">
        <f t="shared" ref="C57:K57" si="17">(C43+C28)/2</f>
        <v>46419719.02354034</v>
      </c>
      <c r="D57" s="5">
        <f t="shared" si="17"/>
        <v>46419719.02354034</v>
      </c>
      <c r="E57" s="5">
        <f t="shared" si="17"/>
        <v>46419719.02354034</v>
      </c>
      <c r="F57" s="5">
        <f t="shared" si="17"/>
        <v>46419719.02354034</v>
      </c>
      <c r="G57" s="5">
        <f t="shared" si="17"/>
        <v>46419719.02354034</v>
      </c>
      <c r="H57" s="5">
        <f t="shared" si="17"/>
        <v>46419719.02354034</v>
      </c>
      <c r="I57" s="5">
        <f t="shared" si="17"/>
        <v>46419719.02354034</v>
      </c>
      <c r="J57" s="5">
        <f t="shared" si="17"/>
        <v>46419719.02354034</v>
      </c>
      <c r="K57" s="5">
        <f t="shared" si="17"/>
        <v>46419719.02354034</v>
      </c>
      <c r="L57" s="5">
        <f t="shared" ref="L57:L67" si="18">AVERAGE(B57:K57)</f>
        <v>46419719.023540333</v>
      </c>
    </row>
    <row r="58" spans="1:12" x14ac:dyDescent="0.25">
      <c r="A58" s="4" t="s">
        <v>36</v>
      </c>
      <c r="B58" s="5">
        <f t="shared" ref="B58:K67" si="19">(B44+B29)/2</f>
        <v>7595976.1732677156</v>
      </c>
      <c r="C58" s="5">
        <f t="shared" si="19"/>
        <v>7595976.1732677156</v>
      </c>
      <c r="D58" s="5">
        <f t="shared" si="19"/>
        <v>7595976.1732677156</v>
      </c>
      <c r="E58" s="5">
        <f t="shared" si="19"/>
        <v>7595976.1732677156</v>
      </c>
      <c r="F58" s="5">
        <f t="shared" si="19"/>
        <v>7595976.1732677156</v>
      </c>
      <c r="G58" s="5">
        <f t="shared" si="19"/>
        <v>7595976.1732677156</v>
      </c>
      <c r="H58" s="5">
        <f t="shared" si="19"/>
        <v>7595976.1732677156</v>
      </c>
      <c r="I58" s="5">
        <f t="shared" si="19"/>
        <v>7595976.1732677156</v>
      </c>
      <c r="J58" s="5">
        <f t="shared" si="19"/>
        <v>7595976.1732677156</v>
      </c>
      <c r="K58" s="5">
        <f t="shared" si="19"/>
        <v>7595976.1732677156</v>
      </c>
      <c r="L58" s="5">
        <f t="shared" si="18"/>
        <v>7595976.1732677165</v>
      </c>
    </row>
    <row r="59" spans="1:12" x14ac:dyDescent="0.25">
      <c r="A59" s="4" t="s">
        <v>11</v>
      </c>
      <c r="B59" s="5">
        <f t="shared" si="19"/>
        <v>0</v>
      </c>
      <c r="C59" s="5">
        <f t="shared" si="19"/>
        <v>0</v>
      </c>
      <c r="D59" s="5">
        <f t="shared" si="19"/>
        <v>0</v>
      </c>
      <c r="E59" s="5">
        <f t="shared" si="19"/>
        <v>0</v>
      </c>
      <c r="F59" s="5">
        <f t="shared" si="19"/>
        <v>0</v>
      </c>
      <c r="G59" s="5">
        <f t="shared" si="19"/>
        <v>0</v>
      </c>
      <c r="H59" s="5">
        <f t="shared" si="19"/>
        <v>0</v>
      </c>
      <c r="I59" s="5">
        <f t="shared" si="19"/>
        <v>0</v>
      </c>
      <c r="J59" s="5">
        <f t="shared" si="19"/>
        <v>0</v>
      </c>
      <c r="K59" s="5">
        <f t="shared" si="19"/>
        <v>0</v>
      </c>
      <c r="L59" s="5">
        <f t="shared" si="18"/>
        <v>0</v>
      </c>
    </row>
    <row r="60" spans="1:12" x14ac:dyDescent="0.25">
      <c r="A60" s="4" t="s">
        <v>124</v>
      </c>
      <c r="B60" s="5">
        <f t="shared" si="19"/>
        <v>12875212.193403188</v>
      </c>
      <c r="C60" s="5">
        <f t="shared" si="19"/>
        <v>12875212.193403188</v>
      </c>
      <c r="D60" s="5">
        <f t="shared" si="19"/>
        <v>12875212.193403188</v>
      </c>
      <c r="E60" s="5">
        <f t="shared" si="19"/>
        <v>12875212.193403188</v>
      </c>
      <c r="F60" s="5">
        <f t="shared" si="19"/>
        <v>12875212.193403188</v>
      </c>
      <c r="G60" s="5">
        <f t="shared" si="19"/>
        <v>12875212.193403188</v>
      </c>
      <c r="H60" s="5">
        <f t="shared" si="19"/>
        <v>12875212.193403188</v>
      </c>
      <c r="I60" s="5">
        <f t="shared" si="19"/>
        <v>12875212.193403188</v>
      </c>
      <c r="J60" s="5">
        <f t="shared" si="19"/>
        <v>12875212.193403188</v>
      </c>
      <c r="K60" s="5">
        <f t="shared" si="19"/>
        <v>12875212.193403188</v>
      </c>
      <c r="L60" s="5">
        <f t="shared" si="18"/>
        <v>12875212.193403186</v>
      </c>
    </row>
    <row r="61" spans="1:12" x14ac:dyDescent="0.25">
      <c r="A61" s="4" t="s">
        <v>12</v>
      </c>
      <c r="B61" s="5">
        <f t="shared" si="19"/>
        <v>10920176.006466638</v>
      </c>
      <c r="C61" s="5">
        <f t="shared" si="19"/>
        <v>10920176.006466638</v>
      </c>
      <c r="D61" s="5">
        <f t="shared" si="19"/>
        <v>10920176.006466638</v>
      </c>
      <c r="E61" s="5">
        <f t="shared" si="19"/>
        <v>10920176.006466638</v>
      </c>
      <c r="F61" s="5">
        <f t="shared" si="19"/>
        <v>10920176.006466638</v>
      </c>
      <c r="G61" s="5">
        <f t="shared" si="19"/>
        <v>10920176.006466638</v>
      </c>
      <c r="H61" s="5">
        <f t="shared" si="19"/>
        <v>10920176.006466638</v>
      </c>
      <c r="I61" s="5">
        <f t="shared" si="19"/>
        <v>10920176.006466638</v>
      </c>
      <c r="J61" s="5">
        <f t="shared" si="19"/>
        <v>10920176.006466638</v>
      </c>
      <c r="K61" s="5">
        <f t="shared" si="19"/>
        <v>10920176.006466638</v>
      </c>
      <c r="L61" s="5">
        <f t="shared" si="18"/>
        <v>10920176.00646664</v>
      </c>
    </row>
    <row r="62" spans="1:12" x14ac:dyDescent="0.25">
      <c r="A62" s="4" t="s">
        <v>13</v>
      </c>
      <c r="B62" s="5">
        <f t="shared" si="19"/>
        <v>1523514.8737484859</v>
      </c>
      <c r="C62" s="5">
        <f t="shared" si="19"/>
        <v>1523514.8737484859</v>
      </c>
      <c r="D62" s="5">
        <f t="shared" si="19"/>
        <v>1523514.8737484859</v>
      </c>
      <c r="E62" s="5">
        <f t="shared" si="19"/>
        <v>1523514.8737484859</v>
      </c>
      <c r="F62" s="5">
        <f t="shared" si="19"/>
        <v>1523514.8737484859</v>
      </c>
      <c r="G62" s="5">
        <f t="shared" si="19"/>
        <v>1523514.8737484859</v>
      </c>
      <c r="H62" s="5">
        <f t="shared" si="19"/>
        <v>1523514.8737484859</v>
      </c>
      <c r="I62" s="5">
        <f t="shared" si="19"/>
        <v>1523514.8737484859</v>
      </c>
      <c r="J62" s="5">
        <f t="shared" si="19"/>
        <v>1523514.8737484859</v>
      </c>
      <c r="K62" s="5">
        <f t="shared" si="19"/>
        <v>1523514.8737484859</v>
      </c>
      <c r="L62" s="5">
        <f t="shared" si="18"/>
        <v>1523514.8737484857</v>
      </c>
    </row>
    <row r="63" spans="1:12" x14ac:dyDescent="0.25">
      <c r="A63" s="4" t="s">
        <v>14</v>
      </c>
      <c r="B63" s="5">
        <f t="shared" si="19"/>
        <v>0</v>
      </c>
      <c r="C63" s="5">
        <f t="shared" si="19"/>
        <v>0</v>
      </c>
      <c r="D63" s="5">
        <f t="shared" si="19"/>
        <v>0</v>
      </c>
      <c r="E63" s="5">
        <f t="shared" si="19"/>
        <v>0</v>
      </c>
      <c r="F63" s="5">
        <f t="shared" si="19"/>
        <v>0</v>
      </c>
      <c r="G63" s="5">
        <f t="shared" si="19"/>
        <v>0</v>
      </c>
      <c r="H63" s="5">
        <f t="shared" si="19"/>
        <v>0</v>
      </c>
      <c r="I63" s="5">
        <f t="shared" si="19"/>
        <v>0</v>
      </c>
      <c r="J63" s="5">
        <f t="shared" si="19"/>
        <v>0</v>
      </c>
      <c r="K63" s="5">
        <f t="shared" si="19"/>
        <v>0</v>
      </c>
      <c r="L63" s="5">
        <f t="shared" si="18"/>
        <v>0</v>
      </c>
    </row>
    <row r="64" spans="1:12" x14ac:dyDescent="0.25">
      <c r="A64" s="4" t="s">
        <v>125</v>
      </c>
      <c r="B64" s="5">
        <f t="shared" si="19"/>
        <v>5056088.5688787624</v>
      </c>
      <c r="C64" s="5">
        <f t="shared" si="19"/>
        <v>5056088.5688787624</v>
      </c>
      <c r="D64" s="5">
        <f t="shared" si="19"/>
        <v>5056088.5688787624</v>
      </c>
      <c r="E64" s="5">
        <f t="shared" si="19"/>
        <v>5056088.5688787624</v>
      </c>
      <c r="F64" s="5">
        <f t="shared" si="19"/>
        <v>5056088.5688787624</v>
      </c>
      <c r="G64" s="5">
        <f t="shared" si="19"/>
        <v>5056088.5688787624</v>
      </c>
      <c r="H64" s="5">
        <f t="shared" si="19"/>
        <v>5056088.5688787624</v>
      </c>
      <c r="I64" s="5">
        <f t="shared" si="19"/>
        <v>5056088.5688787624</v>
      </c>
      <c r="J64" s="5">
        <f t="shared" si="19"/>
        <v>5056088.5688787624</v>
      </c>
      <c r="K64" s="5">
        <f t="shared" si="19"/>
        <v>5056088.5688787624</v>
      </c>
      <c r="L64" s="5">
        <f t="shared" si="18"/>
        <v>5056088.5688787624</v>
      </c>
    </row>
    <row r="65" spans="1:12" x14ac:dyDescent="0.25">
      <c r="A65" s="4" t="s">
        <v>37</v>
      </c>
      <c r="B65" s="5">
        <f t="shared" si="19"/>
        <v>111351751.73195881</v>
      </c>
      <c r="C65" s="5">
        <f t="shared" si="19"/>
        <v>111351751.73195881</v>
      </c>
      <c r="D65" s="5">
        <f t="shared" si="19"/>
        <v>111351751.73195881</v>
      </c>
      <c r="E65" s="5">
        <f t="shared" si="19"/>
        <v>111351751.73195881</v>
      </c>
      <c r="F65" s="5">
        <f t="shared" si="19"/>
        <v>111351751.73195881</v>
      </c>
      <c r="G65" s="5">
        <f t="shared" si="19"/>
        <v>111351751.73195881</v>
      </c>
      <c r="H65" s="5">
        <f t="shared" si="19"/>
        <v>111351751.73195881</v>
      </c>
      <c r="I65" s="5">
        <f t="shared" si="19"/>
        <v>111351751.73195881</v>
      </c>
      <c r="J65" s="5">
        <f t="shared" si="19"/>
        <v>111351751.73195881</v>
      </c>
      <c r="K65" s="5">
        <f t="shared" si="19"/>
        <v>111351751.73195881</v>
      </c>
      <c r="L65" s="5">
        <f t="shared" si="18"/>
        <v>111351751.73195884</v>
      </c>
    </row>
    <row r="66" spans="1:12" x14ac:dyDescent="0.25">
      <c r="A66" s="4" t="s">
        <v>38</v>
      </c>
      <c r="B66" s="5">
        <f t="shared" si="19"/>
        <v>1408203.8844430731</v>
      </c>
      <c r="C66" s="5">
        <f t="shared" si="19"/>
        <v>1408203.8844430731</v>
      </c>
      <c r="D66" s="5">
        <f t="shared" si="19"/>
        <v>1408203.8844430731</v>
      </c>
      <c r="E66" s="5">
        <f t="shared" si="19"/>
        <v>1408203.8844430731</v>
      </c>
      <c r="F66" s="5">
        <f t="shared" si="19"/>
        <v>1408203.8844430731</v>
      </c>
      <c r="G66" s="5">
        <f t="shared" si="19"/>
        <v>1408203.8844430731</v>
      </c>
      <c r="H66" s="5">
        <f t="shared" si="19"/>
        <v>1408203.8844430731</v>
      </c>
      <c r="I66" s="5">
        <f t="shared" si="19"/>
        <v>1408203.8844430731</v>
      </c>
      <c r="J66" s="5">
        <f t="shared" si="19"/>
        <v>1408203.8844430731</v>
      </c>
      <c r="K66" s="5">
        <f t="shared" si="19"/>
        <v>1408203.8844430731</v>
      </c>
      <c r="L66" s="5">
        <f t="shared" si="18"/>
        <v>1408203.8844430728</v>
      </c>
    </row>
    <row r="67" spans="1:12" x14ac:dyDescent="0.25">
      <c r="A67" s="4" t="s">
        <v>15</v>
      </c>
      <c r="B67" s="13">
        <f t="shared" si="19"/>
        <v>73101403.555449486</v>
      </c>
      <c r="C67" s="13">
        <f t="shared" si="19"/>
        <v>73101403.555449486</v>
      </c>
      <c r="D67" s="13">
        <f t="shared" si="19"/>
        <v>73101403.555449486</v>
      </c>
      <c r="E67" s="13">
        <f t="shared" si="19"/>
        <v>73101403.555449486</v>
      </c>
      <c r="F67" s="13">
        <f t="shared" si="19"/>
        <v>73101403.555449486</v>
      </c>
      <c r="G67" s="13">
        <f t="shared" si="19"/>
        <v>73101403.555449486</v>
      </c>
      <c r="H67" s="13">
        <f t="shared" si="19"/>
        <v>73101403.555449486</v>
      </c>
      <c r="I67" s="13">
        <f t="shared" si="19"/>
        <v>73101403.555449486</v>
      </c>
      <c r="J67" s="13">
        <f t="shared" si="19"/>
        <v>73101403.555449486</v>
      </c>
      <c r="K67" s="13">
        <f t="shared" si="19"/>
        <v>73101403.555449486</v>
      </c>
      <c r="L67" s="5">
        <f t="shared" si="18"/>
        <v>73101403.555449486</v>
      </c>
    </row>
    <row r="68" spans="1:12" x14ac:dyDescent="0.25">
      <c r="B68" s="5">
        <f t="shared" ref="B68:K68" si="20">SUM(B57:B67)</f>
        <v>270252046.0111565</v>
      </c>
      <c r="C68" s="5">
        <f t="shared" si="20"/>
        <v>270252046.0111565</v>
      </c>
      <c r="D68" s="5">
        <f t="shared" si="20"/>
        <v>270252046.0111565</v>
      </c>
      <c r="E68" s="5">
        <f t="shared" si="20"/>
        <v>270252046.0111565</v>
      </c>
      <c r="F68" s="5">
        <f t="shared" si="20"/>
        <v>270252046.0111565</v>
      </c>
      <c r="G68" s="5">
        <f t="shared" si="20"/>
        <v>270252046.0111565</v>
      </c>
      <c r="H68" s="5">
        <f t="shared" si="20"/>
        <v>270252046.0111565</v>
      </c>
      <c r="I68" s="5">
        <f t="shared" si="20"/>
        <v>270252046.0111565</v>
      </c>
      <c r="J68" s="5">
        <f t="shared" si="20"/>
        <v>270252046.0111565</v>
      </c>
      <c r="K68" s="5">
        <f t="shared" si="20"/>
        <v>270252046.0111565</v>
      </c>
      <c r="L68" s="5"/>
    </row>
    <row r="70" spans="1:12" s="3" customFormat="1" x14ac:dyDescent="0.25">
      <c r="A70" s="2" t="s">
        <v>81</v>
      </c>
    </row>
    <row r="72" spans="1:12" x14ac:dyDescent="0.25">
      <c r="A72" s="15" t="s">
        <v>61</v>
      </c>
      <c r="B72" s="12" t="str">
        <f>'Summary dashboard'!C4</f>
        <v>2023</v>
      </c>
      <c r="C72" s="12">
        <f t="shared" ref="C72" si="21">B72+1</f>
        <v>2024</v>
      </c>
      <c r="D72" s="12">
        <f t="shared" ref="D72" si="22">C72+1</f>
        <v>2025</v>
      </c>
      <c r="E72" s="12">
        <f t="shared" ref="E72" si="23">D72+1</f>
        <v>2026</v>
      </c>
      <c r="F72" s="12">
        <f t="shared" ref="F72" si="24">E72+1</f>
        <v>2027</v>
      </c>
      <c r="G72" s="12">
        <f t="shared" ref="G72" si="25">F72+1</f>
        <v>2028</v>
      </c>
      <c r="H72" s="12">
        <f t="shared" ref="H72" si="26">G72+1</f>
        <v>2029</v>
      </c>
      <c r="I72" s="12">
        <f t="shared" ref="I72" si="27">H72+1</f>
        <v>2030</v>
      </c>
      <c r="J72" s="12">
        <f t="shared" ref="J72" si="28">I72+1</f>
        <v>2031</v>
      </c>
      <c r="K72" s="12">
        <f t="shared" ref="K72" si="29">J72+1</f>
        <v>2032</v>
      </c>
      <c r="L72" s="1" t="s">
        <v>28</v>
      </c>
    </row>
    <row r="73" spans="1:12" x14ac:dyDescent="0.25">
      <c r="A73" s="4" t="s">
        <v>35</v>
      </c>
      <c r="B73" s="5">
        <f>'Limpopo-Olifants CMA'!B44+'Vaal-Orange CMA'!B44+'Mzimvubu-Tsitsikamma CMA'!B44+'Vaal-Orange CMA'!B44+'Mzimvubu-Tsitsikamma CMA'!B44+'Breede-Olifants CMA'!B44</f>
        <v>85957237.893796965</v>
      </c>
      <c r="C73" s="5">
        <f>'Limpopo-Olifants CMA'!C44+'Vaal-Orange CMA'!C44+'Mzimvubu-Tsitsikamma CMA'!C44+'Vaal-Orange CMA'!C44+'Mzimvubu-Tsitsikamma CMA'!C44+'Breede-Olifants CMA'!C44</f>
        <v>85957237.893796965</v>
      </c>
      <c r="D73" s="5">
        <f>'Limpopo-Olifants CMA'!D44+'Vaal-Orange CMA'!D44+'Mzimvubu-Tsitsikamma CMA'!D44+'Vaal-Orange CMA'!D44+'Mzimvubu-Tsitsikamma CMA'!D44+'Breede-Olifants CMA'!D44</f>
        <v>85957237.893796965</v>
      </c>
      <c r="E73" s="5">
        <f>'Limpopo-Olifants CMA'!E44+'Vaal-Orange CMA'!E44+'Mzimvubu-Tsitsikamma CMA'!E44+'Vaal-Orange CMA'!E44+'Mzimvubu-Tsitsikamma CMA'!E44+'Breede-Olifants CMA'!E44</f>
        <v>85957237.893796965</v>
      </c>
      <c r="F73" s="5">
        <f>'Limpopo-Olifants CMA'!F44+'Vaal-Orange CMA'!F44+'Mzimvubu-Tsitsikamma CMA'!F44+'Vaal-Orange CMA'!F44+'Mzimvubu-Tsitsikamma CMA'!F44+'Breede-Olifants CMA'!F44</f>
        <v>85957237.893796965</v>
      </c>
      <c r="G73" s="5">
        <f>'Limpopo-Olifants CMA'!G44+'Vaal-Orange CMA'!G44+'Mzimvubu-Tsitsikamma CMA'!G44+'Vaal-Orange CMA'!G44+'Mzimvubu-Tsitsikamma CMA'!G44+'Breede-Olifants CMA'!G44</f>
        <v>85957237.893796965</v>
      </c>
      <c r="H73" s="5">
        <f>'Limpopo-Olifants CMA'!H44+'Vaal-Orange CMA'!H44+'Mzimvubu-Tsitsikamma CMA'!H44+'Vaal-Orange CMA'!H44+'Mzimvubu-Tsitsikamma CMA'!H44+'Breede-Olifants CMA'!H44</f>
        <v>85957237.893796965</v>
      </c>
      <c r="I73" s="5">
        <f>'Limpopo-Olifants CMA'!I44+'Vaal-Orange CMA'!I44+'Mzimvubu-Tsitsikamma CMA'!I44+'Vaal-Orange CMA'!I44+'Mzimvubu-Tsitsikamma CMA'!I44+'Breede-Olifants CMA'!I44</f>
        <v>85957237.893796965</v>
      </c>
      <c r="J73" s="5">
        <f>'Limpopo-Olifants CMA'!J44+'Vaal-Orange CMA'!J44+'Mzimvubu-Tsitsikamma CMA'!J44+'Vaal-Orange CMA'!J44+'Mzimvubu-Tsitsikamma CMA'!J44+'Breede-Olifants CMA'!J44</f>
        <v>85957237.893796965</v>
      </c>
      <c r="K73" s="5">
        <f>'Limpopo-Olifants CMA'!K44+'Vaal-Orange CMA'!K44+'Mzimvubu-Tsitsikamma CMA'!K44+'Vaal-Orange CMA'!K44+'Mzimvubu-Tsitsikamma CMA'!K44+'Breede-Olifants CMA'!K44</f>
        <v>85957237.893796965</v>
      </c>
      <c r="L73" s="5">
        <f t="shared" ref="L73:L83" si="30">AVERAGE(B73:K73)</f>
        <v>85957237.893796951</v>
      </c>
    </row>
    <row r="74" spans="1:12" x14ac:dyDescent="0.25">
      <c r="A74" s="4" t="s">
        <v>36</v>
      </c>
      <c r="B74" s="5">
        <f>'Limpopo-Olifants CMA'!B45+'Vaal-Orange CMA'!B45+'Mzimvubu-Tsitsikamma CMA'!B45+'Vaal-Orange CMA'!B45+'Mzimvubu-Tsitsikamma CMA'!B45+'Breede-Olifants CMA'!B45</f>
        <v>47120332.365879819</v>
      </c>
      <c r="C74" s="5">
        <f>'Limpopo-Olifants CMA'!C45+'Vaal-Orange CMA'!C45+'Mzimvubu-Tsitsikamma CMA'!C45+'Vaal-Orange CMA'!C45+'Mzimvubu-Tsitsikamma CMA'!C45+'Breede-Olifants CMA'!C45</f>
        <v>47120332.365879819</v>
      </c>
      <c r="D74" s="5">
        <f>'Limpopo-Olifants CMA'!D45+'Vaal-Orange CMA'!D45+'Mzimvubu-Tsitsikamma CMA'!D45+'Vaal-Orange CMA'!D45+'Mzimvubu-Tsitsikamma CMA'!D45+'Breede-Olifants CMA'!D45</f>
        <v>47120332.365879819</v>
      </c>
      <c r="E74" s="5">
        <f>'Limpopo-Olifants CMA'!E45+'Vaal-Orange CMA'!E45+'Mzimvubu-Tsitsikamma CMA'!E45+'Vaal-Orange CMA'!E45+'Mzimvubu-Tsitsikamma CMA'!E45+'Breede-Olifants CMA'!E45</f>
        <v>47120332.365879819</v>
      </c>
      <c r="F74" s="5">
        <f>'Limpopo-Olifants CMA'!F45+'Vaal-Orange CMA'!F45+'Mzimvubu-Tsitsikamma CMA'!F45+'Vaal-Orange CMA'!F45+'Mzimvubu-Tsitsikamma CMA'!F45+'Breede-Olifants CMA'!F45</f>
        <v>47120332.365879819</v>
      </c>
      <c r="G74" s="5">
        <f>'Limpopo-Olifants CMA'!G45+'Vaal-Orange CMA'!G45+'Mzimvubu-Tsitsikamma CMA'!G45+'Vaal-Orange CMA'!G45+'Mzimvubu-Tsitsikamma CMA'!G45+'Breede-Olifants CMA'!G45</f>
        <v>47120332.365879819</v>
      </c>
      <c r="H74" s="5">
        <f>'Limpopo-Olifants CMA'!H45+'Vaal-Orange CMA'!H45+'Mzimvubu-Tsitsikamma CMA'!H45+'Vaal-Orange CMA'!H45+'Mzimvubu-Tsitsikamma CMA'!H45+'Breede-Olifants CMA'!H45</f>
        <v>47120332.365879819</v>
      </c>
      <c r="I74" s="5">
        <f>'Limpopo-Olifants CMA'!I45+'Vaal-Orange CMA'!I45+'Mzimvubu-Tsitsikamma CMA'!I45+'Vaal-Orange CMA'!I45+'Mzimvubu-Tsitsikamma CMA'!I45+'Breede-Olifants CMA'!I45</f>
        <v>47120332.365879819</v>
      </c>
      <c r="J74" s="5">
        <f>'Limpopo-Olifants CMA'!J45+'Vaal-Orange CMA'!J45+'Mzimvubu-Tsitsikamma CMA'!J45+'Vaal-Orange CMA'!J45+'Mzimvubu-Tsitsikamma CMA'!J45+'Breede-Olifants CMA'!J45</f>
        <v>47120332.365879819</v>
      </c>
      <c r="K74" s="5">
        <f>'Limpopo-Olifants CMA'!K45+'Vaal-Orange CMA'!K45+'Mzimvubu-Tsitsikamma CMA'!K45+'Vaal-Orange CMA'!K45+'Mzimvubu-Tsitsikamma CMA'!K45+'Breede-Olifants CMA'!K45</f>
        <v>47120332.365879819</v>
      </c>
      <c r="L74" s="5">
        <f t="shared" si="30"/>
        <v>47120332.365879826</v>
      </c>
    </row>
    <row r="75" spans="1:12" x14ac:dyDescent="0.25">
      <c r="A75" s="4" t="s">
        <v>11</v>
      </c>
      <c r="B75" s="5">
        <f>'Limpopo-Olifants CMA'!B46+'Vaal-Orange CMA'!B46+'Mzimvubu-Tsitsikamma CMA'!B46+'Vaal-Orange CMA'!B46+'Mzimvubu-Tsitsikamma CMA'!B46+'Breede-Olifants CMA'!B46</f>
        <v>0</v>
      </c>
      <c r="C75" s="5">
        <f>'Limpopo-Olifants CMA'!C46+'Vaal-Orange CMA'!C46+'Mzimvubu-Tsitsikamma CMA'!C46+'Vaal-Orange CMA'!C46+'Mzimvubu-Tsitsikamma CMA'!C46+'Breede-Olifants CMA'!C46</f>
        <v>0</v>
      </c>
      <c r="D75" s="5">
        <f>'Limpopo-Olifants CMA'!D46+'Vaal-Orange CMA'!D46+'Mzimvubu-Tsitsikamma CMA'!D46+'Vaal-Orange CMA'!D46+'Mzimvubu-Tsitsikamma CMA'!D46+'Breede-Olifants CMA'!D46</f>
        <v>0</v>
      </c>
      <c r="E75" s="5">
        <f>'Limpopo-Olifants CMA'!E46+'Vaal-Orange CMA'!E46+'Mzimvubu-Tsitsikamma CMA'!E46+'Vaal-Orange CMA'!E46+'Mzimvubu-Tsitsikamma CMA'!E46+'Breede-Olifants CMA'!E46</f>
        <v>0</v>
      </c>
      <c r="F75" s="5">
        <f>'Limpopo-Olifants CMA'!F46+'Vaal-Orange CMA'!F46+'Mzimvubu-Tsitsikamma CMA'!F46+'Vaal-Orange CMA'!F46+'Mzimvubu-Tsitsikamma CMA'!F46+'Breede-Olifants CMA'!F46</f>
        <v>0</v>
      </c>
      <c r="G75" s="5">
        <f>'Limpopo-Olifants CMA'!G46+'Vaal-Orange CMA'!G46+'Mzimvubu-Tsitsikamma CMA'!G46+'Vaal-Orange CMA'!G46+'Mzimvubu-Tsitsikamma CMA'!G46+'Breede-Olifants CMA'!G46</f>
        <v>0</v>
      </c>
      <c r="H75" s="5">
        <f>'Limpopo-Olifants CMA'!H46+'Vaal-Orange CMA'!H46+'Mzimvubu-Tsitsikamma CMA'!H46+'Vaal-Orange CMA'!H46+'Mzimvubu-Tsitsikamma CMA'!H46+'Breede-Olifants CMA'!H46</f>
        <v>0</v>
      </c>
      <c r="I75" s="5">
        <f>'Limpopo-Olifants CMA'!I46+'Vaal-Orange CMA'!I46+'Mzimvubu-Tsitsikamma CMA'!I46+'Vaal-Orange CMA'!I46+'Mzimvubu-Tsitsikamma CMA'!I46+'Breede-Olifants CMA'!I46</f>
        <v>0</v>
      </c>
      <c r="J75" s="5">
        <f>'Limpopo-Olifants CMA'!J46+'Vaal-Orange CMA'!J46+'Mzimvubu-Tsitsikamma CMA'!J46+'Vaal-Orange CMA'!J46+'Mzimvubu-Tsitsikamma CMA'!J46+'Breede-Olifants CMA'!J46</f>
        <v>0</v>
      </c>
      <c r="K75" s="5">
        <f>'Limpopo-Olifants CMA'!K46+'Vaal-Orange CMA'!K46+'Mzimvubu-Tsitsikamma CMA'!K46+'Vaal-Orange CMA'!K46+'Mzimvubu-Tsitsikamma CMA'!K46+'Breede-Olifants CMA'!K46</f>
        <v>0</v>
      </c>
      <c r="L75" s="5">
        <f t="shared" si="30"/>
        <v>0</v>
      </c>
    </row>
    <row r="76" spans="1:12" x14ac:dyDescent="0.25">
      <c r="A76" s="4" t="s">
        <v>124</v>
      </c>
      <c r="B76" s="5">
        <f>'Limpopo-Olifants CMA'!B47+'Vaal-Orange CMA'!B47+'Mzimvubu-Tsitsikamma CMA'!B47+'Vaal-Orange CMA'!B47+'Mzimvubu-Tsitsikamma CMA'!B47+'Breede-Olifants CMA'!B47</f>
        <v>27956086.504785784</v>
      </c>
      <c r="C76" s="5">
        <f>'Limpopo-Olifants CMA'!C47+'Vaal-Orange CMA'!C47+'Mzimvubu-Tsitsikamma CMA'!C47+'Vaal-Orange CMA'!C47+'Mzimvubu-Tsitsikamma CMA'!C47+'Breede-Olifants CMA'!C47</f>
        <v>27956086.504785784</v>
      </c>
      <c r="D76" s="5">
        <f>'Limpopo-Olifants CMA'!D47+'Vaal-Orange CMA'!D47+'Mzimvubu-Tsitsikamma CMA'!D47+'Vaal-Orange CMA'!D47+'Mzimvubu-Tsitsikamma CMA'!D47+'Breede-Olifants CMA'!D47</f>
        <v>27956086.504785784</v>
      </c>
      <c r="E76" s="5">
        <f>'Limpopo-Olifants CMA'!E47+'Vaal-Orange CMA'!E47+'Mzimvubu-Tsitsikamma CMA'!E47+'Vaal-Orange CMA'!E47+'Mzimvubu-Tsitsikamma CMA'!E47+'Breede-Olifants CMA'!E47</f>
        <v>27956086.504785784</v>
      </c>
      <c r="F76" s="5">
        <f>'Limpopo-Olifants CMA'!F47+'Vaal-Orange CMA'!F47+'Mzimvubu-Tsitsikamma CMA'!F47+'Vaal-Orange CMA'!F47+'Mzimvubu-Tsitsikamma CMA'!F47+'Breede-Olifants CMA'!F47</f>
        <v>27956086.504785784</v>
      </c>
      <c r="G76" s="5">
        <f>'Limpopo-Olifants CMA'!G47+'Vaal-Orange CMA'!G47+'Mzimvubu-Tsitsikamma CMA'!G47+'Vaal-Orange CMA'!G47+'Mzimvubu-Tsitsikamma CMA'!G47+'Breede-Olifants CMA'!G47</f>
        <v>27956086.504785784</v>
      </c>
      <c r="H76" s="5">
        <f>'Limpopo-Olifants CMA'!H47+'Vaal-Orange CMA'!H47+'Mzimvubu-Tsitsikamma CMA'!H47+'Vaal-Orange CMA'!H47+'Mzimvubu-Tsitsikamma CMA'!H47+'Breede-Olifants CMA'!H47</f>
        <v>27956086.504785784</v>
      </c>
      <c r="I76" s="5">
        <f>'Limpopo-Olifants CMA'!I47+'Vaal-Orange CMA'!I47+'Mzimvubu-Tsitsikamma CMA'!I47+'Vaal-Orange CMA'!I47+'Mzimvubu-Tsitsikamma CMA'!I47+'Breede-Olifants CMA'!I47</f>
        <v>27956086.504785784</v>
      </c>
      <c r="J76" s="5">
        <f>'Limpopo-Olifants CMA'!J47+'Vaal-Orange CMA'!J47+'Mzimvubu-Tsitsikamma CMA'!J47+'Vaal-Orange CMA'!J47+'Mzimvubu-Tsitsikamma CMA'!J47+'Breede-Olifants CMA'!J47</f>
        <v>27956086.504785784</v>
      </c>
      <c r="K76" s="5">
        <f>'Limpopo-Olifants CMA'!K47+'Vaal-Orange CMA'!K47+'Mzimvubu-Tsitsikamma CMA'!K47+'Vaal-Orange CMA'!K47+'Mzimvubu-Tsitsikamma CMA'!K47+'Breede-Olifants CMA'!K47</f>
        <v>27956086.504785784</v>
      </c>
      <c r="L76" s="5">
        <f t="shared" si="30"/>
        <v>27956086.504785784</v>
      </c>
    </row>
    <row r="77" spans="1:12" x14ac:dyDescent="0.25">
      <c r="A77" s="4" t="s">
        <v>12</v>
      </c>
      <c r="B77" s="5">
        <f>'Limpopo-Olifants CMA'!B48+'Vaal-Orange CMA'!B48+'Mzimvubu-Tsitsikamma CMA'!B48+'Vaal-Orange CMA'!B48+'Mzimvubu-Tsitsikamma CMA'!B48+'Breede-Olifants CMA'!B48</f>
        <v>270965738.27047926</v>
      </c>
      <c r="C77" s="5">
        <f>'Limpopo-Olifants CMA'!C48+'Vaal-Orange CMA'!C48+'Mzimvubu-Tsitsikamma CMA'!C48+'Vaal-Orange CMA'!C48+'Mzimvubu-Tsitsikamma CMA'!C48+'Breede-Olifants CMA'!C48</f>
        <v>270965738.27047926</v>
      </c>
      <c r="D77" s="5">
        <f>'Limpopo-Olifants CMA'!D48+'Vaal-Orange CMA'!D48+'Mzimvubu-Tsitsikamma CMA'!D48+'Vaal-Orange CMA'!D48+'Mzimvubu-Tsitsikamma CMA'!D48+'Breede-Olifants CMA'!D48</f>
        <v>270965738.27047926</v>
      </c>
      <c r="E77" s="5">
        <f>'Limpopo-Olifants CMA'!E48+'Vaal-Orange CMA'!E48+'Mzimvubu-Tsitsikamma CMA'!E48+'Vaal-Orange CMA'!E48+'Mzimvubu-Tsitsikamma CMA'!E48+'Breede-Olifants CMA'!E48</f>
        <v>270965738.27047926</v>
      </c>
      <c r="F77" s="5">
        <f>'Limpopo-Olifants CMA'!F48+'Vaal-Orange CMA'!F48+'Mzimvubu-Tsitsikamma CMA'!F48+'Vaal-Orange CMA'!F48+'Mzimvubu-Tsitsikamma CMA'!F48+'Breede-Olifants CMA'!F48</f>
        <v>270965738.27047926</v>
      </c>
      <c r="G77" s="5">
        <f>'Limpopo-Olifants CMA'!G48+'Vaal-Orange CMA'!G48+'Mzimvubu-Tsitsikamma CMA'!G48+'Vaal-Orange CMA'!G48+'Mzimvubu-Tsitsikamma CMA'!G48+'Breede-Olifants CMA'!G48</f>
        <v>270965738.27047926</v>
      </c>
      <c r="H77" s="5">
        <f>'Limpopo-Olifants CMA'!H48+'Vaal-Orange CMA'!H48+'Mzimvubu-Tsitsikamma CMA'!H48+'Vaal-Orange CMA'!H48+'Mzimvubu-Tsitsikamma CMA'!H48+'Breede-Olifants CMA'!H48</f>
        <v>270965738.27047926</v>
      </c>
      <c r="I77" s="5">
        <f>'Limpopo-Olifants CMA'!I48+'Vaal-Orange CMA'!I48+'Mzimvubu-Tsitsikamma CMA'!I48+'Vaal-Orange CMA'!I48+'Mzimvubu-Tsitsikamma CMA'!I48+'Breede-Olifants CMA'!I48</f>
        <v>270965738.27047926</v>
      </c>
      <c r="J77" s="5">
        <f>'Limpopo-Olifants CMA'!J48+'Vaal-Orange CMA'!J48+'Mzimvubu-Tsitsikamma CMA'!J48+'Vaal-Orange CMA'!J48+'Mzimvubu-Tsitsikamma CMA'!J48+'Breede-Olifants CMA'!J48</f>
        <v>270965738.27047926</v>
      </c>
      <c r="K77" s="5">
        <f>'Limpopo-Olifants CMA'!K48+'Vaal-Orange CMA'!K48+'Mzimvubu-Tsitsikamma CMA'!K48+'Vaal-Orange CMA'!K48+'Mzimvubu-Tsitsikamma CMA'!K48+'Breede-Olifants CMA'!K48</f>
        <v>270965738.27047926</v>
      </c>
      <c r="L77" s="5">
        <f t="shared" si="30"/>
        <v>270965738.27047926</v>
      </c>
    </row>
    <row r="78" spans="1:12" x14ac:dyDescent="0.25">
      <c r="A78" s="4" t="s">
        <v>13</v>
      </c>
      <c r="B78" s="5">
        <f>'Limpopo-Olifants CMA'!B49+'Vaal-Orange CMA'!B49+'Mzimvubu-Tsitsikamma CMA'!B49+'Vaal-Orange CMA'!B49+'Mzimvubu-Tsitsikamma CMA'!B49+'Breede-Olifants CMA'!B49</f>
        <v>5078382.9124949528</v>
      </c>
      <c r="C78" s="5">
        <f>'Limpopo-Olifants CMA'!C49+'Vaal-Orange CMA'!C49+'Mzimvubu-Tsitsikamma CMA'!C49+'Vaal-Orange CMA'!C49+'Mzimvubu-Tsitsikamma CMA'!C49+'Breede-Olifants CMA'!C49</f>
        <v>5078382.9124949528</v>
      </c>
      <c r="D78" s="5">
        <f>'Limpopo-Olifants CMA'!D49+'Vaal-Orange CMA'!D49+'Mzimvubu-Tsitsikamma CMA'!D49+'Vaal-Orange CMA'!D49+'Mzimvubu-Tsitsikamma CMA'!D49+'Breede-Olifants CMA'!D49</f>
        <v>5078382.9124949528</v>
      </c>
      <c r="E78" s="5">
        <f>'Limpopo-Olifants CMA'!E49+'Vaal-Orange CMA'!E49+'Mzimvubu-Tsitsikamma CMA'!E49+'Vaal-Orange CMA'!E49+'Mzimvubu-Tsitsikamma CMA'!E49+'Breede-Olifants CMA'!E49</f>
        <v>5078382.9124949528</v>
      </c>
      <c r="F78" s="5">
        <f>'Limpopo-Olifants CMA'!F49+'Vaal-Orange CMA'!F49+'Mzimvubu-Tsitsikamma CMA'!F49+'Vaal-Orange CMA'!F49+'Mzimvubu-Tsitsikamma CMA'!F49+'Breede-Olifants CMA'!F49</f>
        <v>5078382.9124949528</v>
      </c>
      <c r="G78" s="5">
        <f>'Limpopo-Olifants CMA'!G49+'Vaal-Orange CMA'!G49+'Mzimvubu-Tsitsikamma CMA'!G49+'Vaal-Orange CMA'!G49+'Mzimvubu-Tsitsikamma CMA'!G49+'Breede-Olifants CMA'!G49</f>
        <v>5078382.9124949528</v>
      </c>
      <c r="H78" s="5">
        <f>'Limpopo-Olifants CMA'!H49+'Vaal-Orange CMA'!H49+'Mzimvubu-Tsitsikamma CMA'!H49+'Vaal-Orange CMA'!H49+'Mzimvubu-Tsitsikamma CMA'!H49+'Breede-Olifants CMA'!H49</f>
        <v>5078382.9124949528</v>
      </c>
      <c r="I78" s="5">
        <f>'Limpopo-Olifants CMA'!I49+'Vaal-Orange CMA'!I49+'Mzimvubu-Tsitsikamma CMA'!I49+'Vaal-Orange CMA'!I49+'Mzimvubu-Tsitsikamma CMA'!I49+'Breede-Olifants CMA'!I49</f>
        <v>5078382.9124949528</v>
      </c>
      <c r="J78" s="5">
        <f>'Limpopo-Olifants CMA'!J49+'Vaal-Orange CMA'!J49+'Mzimvubu-Tsitsikamma CMA'!J49+'Vaal-Orange CMA'!J49+'Mzimvubu-Tsitsikamma CMA'!J49+'Breede-Olifants CMA'!J49</f>
        <v>5078382.9124949528</v>
      </c>
      <c r="K78" s="5">
        <f>'Limpopo-Olifants CMA'!K49+'Vaal-Orange CMA'!K49+'Mzimvubu-Tsitsikamma CMA'!K49+'Vaal-Orange CMA'!K49+'Mzimvubu-Tsitsikamma CMA'!K49+'Breede-Olifants CMA'!K49</f>
        <v>5078382.9124949528</v>
      </c>
      <c r="L78" s="5">
        <f t="shared" si="30"/>
        <v>5078382.9124949519</v>
      </c>
    </row>
    <row r="79" spans="1:12" x14ac:dyDescent="0.25">
      <c r="A79" s="4" t="s">
        <v>14</v>
      </c>
      <c r="B79" s="5">
        <f>'Limpopo-Olifants CMA'!B50+'Vaal-Orange CMA'!B50+'Mzimvubu-Tsitsikamma CMA'!B50+'Vaal-Orange CMA'!B50+'Mzimvubu-Tsitsikamma CMA'!B50+'Breede-Olifants CMA'!B50</f>
        <v>0</v>
      </c>
      <c r="C79" s="5">
        <f>'Limpopo-Olifants CMA'!C50+'Vaal-Orange CMA'!C50+'Mzimvubu-Tsitsikamma CMA'!C50+'Vaal-Orange CMA'!C50+'Mzimvubu-Tsitsikamma CMA'!C50+'Breede-Olifants CMA'!C50</f>
        <v>0</v>
      </c>
      <c r="D79" s="5">
        <f>'Limpopo-Olifants CMA'!D50+'Vaal-Orange CMA'!D50+'Mzimvubu-Tsitsikamma CMA'!D50+'Vaal-Orange CMA'!D50+'Mzimvubu-Tsitsikamma CMA'!D50+'Breede-Olifants CMA'!D50</f>
        <v>0</v>
      </c>
      <c r="E79" s="5">
        <f>'Limpopo-Olifants CMA'!E50+'Vaal-Orange CMA'!E50+'Mzimvubu-Tsitsikamma CMA'!E50+'Vaal-Orange CMA'!E50+'Mzimvubu-Tsitsikamma CMA'!E50+'Breede-Olifants CMA'!E50</f>
        <v>0</v>
      </c>
      <c r="F79" s="5">
        <f>'Limpopo-Olifants CMA'!F50+'Vaal-Orange CMA'!F50+'Mzimvubu-Tsitsikamma CMA'!F50+'Vaal-Orange CMA'!F50+'Mzimvubu-Tsitsikamma CMA'!F50+'Breede-Olifants CMA'!F50</f>
        <v>0</v>
      </c>
      <c r="G79" s="5">
        <f>'Limpopo-Olifants CMA'!G50+'Vaal-Orange CMA'!G50+'Mzimvubu-Tsitsikamma CMA'!G50+'Vaal-Orange CMA'!G50+'Mzimvubu-Tsitsikamma CMA'!G50+'Breede-Olifants CMA'!G50</f>
        <v>0</v>
      </c>
      <c r="H79" s="5">
        <f>'Limpopo-Olifants CMA'!H50+'Vaal-Orange CMA'!H50+'Mzimvubu-Tsitsikamma CMA'!H50+'Vaal-Orange CMA'!H50+'Mzimvubu-Tsitsikamma CMA'!H50+'Breede-Olifants CMA'!H50</f>
        <v>0</v>
      </c>
      <c r="I79" s="5">
        <f>'Limpopo-Olifants CMA'!I50+'Vaal-Orange CMA'!I50+'Mzimvubu-Tsitsikamma CMA'!I50+'Vaal-Orange CMA'!I50+'Mzimvubu-Tsitsikamma CMA'!I50+'Breede-Olifants CMA'!I50</f>
        <v>0</v>
      </c>
      <c r="J79" s="5">
        <f>'Limpopo-Olifants CMA'!J50+'Vaal-Orange CMA'!J50+'Mzimvubu-Tsitsikamma CMA'!J50+'Vaal-Orange CMA'!J50+'Mzimvubu-Tsitsikamma CMA'!J50+'Breede-Olifants CMA'!J50</f>
        <v>0</v>
      </c>
      <c r="K79" s="5">
        <f>'Limpopo-Olifants CMA'!K50+'Vaal-Orange CMA'!K50+'Mzimvubu-Tsitsikamma CMA'!K50+'Vaal-Orange CMA'!K50+'Mzimvubu-Tsitsikamma CMA'!K50+'Breede-Olifants CMA'!K50</f>
        <v>0</v>
      </c>
      <c r="L79" s="5">
        <f t="shared" si="30"/>
        <v>0</v>
      </c>
    </row>
    <row r="80" spans="1:12" x14ac:dyDescent="0.25">
      <c r="A80" s="4" t="s">
        <v>125</v>
      </c>
      <c r="B80" s="5">
        <f>'Limpopo-Olifants CMA'!B51+'Vaal-Orange CMA'!B51+'Mzimvubu-Tsitsikamma CMA'!B51+'Vaal-Orange CMA'!B51+'Mzimvubu-Tsitsikamma CMA'!B51+'Breede-Olifants CMA'!B51</f>
        <v>8961307.4983921722</v>
      </c>
      <c r="C80" s="5">
        <f>'Limpopo-Olifants CMA'!C51+'Vaal-Orange CMA'!C51+'Mzimvubu-Tsitsikamma CMA'!C51+'Vaal-Orange CMA'!C51+'Mzimvubu-Tsitsikamma CMA'!C51+'Breede-Olifants CMA'!C51</f>
        <v>8961307.4983921722</v>
      </c>
      <c r="D80" s="5">
        <f>'Limpopo-Olifants CMA'!D51+'Vaal-Orange CMA'!D51+'Mzimvubu-Tsitsikamma CMA'!D51+'Vaal-Orange CMA'!D51+'Mzimvubu-Tsitsikamma CMA'!D51+'Breede-Olifants CMA'!D51</f>
        <v>8961307.4983921722</v>
      </c>
      <c r="E80" s="5">
        <f>'Limpopo-Olifants CMA'!E51+'Vaal-Orange CMA'!E51+'Mzimvubu-Tsitsikamma CMA'!E51+'Vaal-Orange CMA'!E51+'Mzimvubu-Tsitsikamma CMA'!E51+'Breede-Olifants CMA'!E51</f>
        <v>8961307.4983921722</v>
      </c>
      <c r="F80" s="5">
        <f>'Limpopo-Olifants CMA'!F51+'Vaal-Orange CMA'!F51+'Mzimvubu-Tsitsikamma CMA'!F51+'Vaal-Orange CMA'!F51+'Mzimvubu-Tsitsikamma CMA'!F51+'Breede-Olifants CMA'!F51</f>
        <v>8961307.4983921722</v>
      </c>
      <c r="G80" s="5">
        <f>'Limpopo-Olifants CMA'!G51+'Vaal-Orange CMA'!G51+'Mzimvubu-Tsitsikamma CMA'!G51+'Vaal-Orange CMA'!G51+'Mzimvubu-Tsitsikamma CMA'!G51+'Breede-Olifants CMA'!G51</f>
        <v>8961307.4983921722</v>
      </c>
      <c r="H80" s="5">
        <f>'Limpopo-Olifants CMA'!H51+'Vaal-Orange CMA'!H51+'Mzimvubu-Tsitsikamma CMA'!H51+'Vaal-Orange CMA'!H51+'Mzimvubu-Tsitsikamma CMA'!H51+'Breede-Olifants CMA'!H51</f>
        <v>8961307.4983921722</v>
      </c>
      <c r="I80" s="5">
        <f>'Limpopo-Olifants CMA'!I51+'Vaal-Orange CMA'!I51+'Mzimvubu-Tsitsikamma CMA'!I51+'Vaal-Orange CMA'!I51+'Mzimvubu-Tsitsikamma CMA'!I51+'Breede-Olifants CMA'!I51</f>
        <v>8961307.4983921722</v>
      </c>
      <c r="J80" s="5">
        <f>'Limpopo-Olifants CMA'!J51+'Vaal-Orange CMA'!J51+'Mzimvubu-Tsitsikamma CMA'!J51+'Vaal-Orange CMA'!J51+'Mzimvubu-Tsitsikamma CMA'!J51+'Breede-Olifants CMA'!J51</f>
        <v>8961307.4983921722</v>
      </c>
      <c r="K80" s="5">
        <f>'Limpopo-Olifants CMA'!K51+'Vaal-Orange CMA'!K51+'Mzimvubu-Tsitsikamma CMA'!K51+'Vaal-Orange CMA'!K51+'Mzimvubu-Tsitsikamma CMA'!K51+'Breede-Olifants CMA'!K51</f>
        <v>8961307.4983921722</v>
      </c>
      <c r="L80" s="5">
        <f t="shared" si="30"/>
        <v>8961307.4983921703</v>
      </c>
    </row>
    <row r="81" spans="1:12" x14ac:dyDescent="0.25">
      <c r="A81" s="4" t="s">
        <v>37</v>
      </c>
      <c r="B81" s="5">
        <f>'Limpopo-Olifants CMA'!B52+'Vaal-Orange CMA'!B52+'Mzimvubu-Tsitsikamma CMA'!B52+'Vaal-Orange CMA'!B52+'Mzimvubu-Tsitsikamma CMA'!B52+'Breede-Olifants CMA'!B52</f>
        <v>260660924.29395273</v>
      </c>
      <c r="C81" s="5">
        <f>'Limpopo-Olifants CMA'!C52+'Vaal-Orange CMA'!C52+'Mzimvubu-Tsitsikamma CMA'!C52+'Vaal-Orange CMA'!C52+'Mzimvubu-Tsitsikamma CMA'!C52+'Breede-Olifants CMA'!C52</f>
        <v>260660924.29395273</v>
      </c>
      <c r="D81" s="5">
        <f>'Limpopo-Olifants CMA'!D52+'Vaal-Orange CMA'!D52+'Mzimvubu-Tsitsikamma CMA'!D52+'Vaal-Orange CMA'!D52+'Mzimvubu-Tsitsikamma CMA'!D52+'Breede-Olifants CMA'!D52</f>
        <v>260660924.29395273</v>
      </c>
      <c r="E81" s="5">
        <f>'Limpopo-Olifants CMA'!E52+'Vaal-Orange CMA'!E52+'Mzimvubu-Tsitsikamma CMA'!E52+'Vaal-Orange CMA'!E52+'Mzimvubu-Tsitsikamma CMA'!E52+'Breede-Olifants CMA'!E52</f>
        <v>260660924.29395273</v>
      </c>
      <c r="F81" s="5">
        <f>'Limpopo-Olifants CMA'!F52+'Vaal-Orange CMA'!F52+'Mzimvubu-Tsitsikamma CMA'!F52+'Vaal-Orange CMA'!F52+'Mzimvubu-Tsitsikamma CMA'!F52+'Breede-Olifants CMA'!F52</f>
        <v>260660924.29395273</v>
      </c>
      <c r="G81" s="5">
        <f>'Limpopo-Olifants CMA'!G52+'Vaal-Orange CMA'!G52+'Mzimvubu-Tsitsikamma CMA'!G52+'Vaal-Orange CMA'!G52+'Mzimvubu-Tsitsikamma CMA'!G52+'Breede-Olifants CMA'!G52</f>
        <v>260660924.29395273</v>
      </c>
      <c r="H81" s="5">
        <f>'Limpopo-Olifants CMA'!H52+'Vaal-Orange CMA'!H52+'Mzimvubu-Tsitsikamma CMA'!H52+'Vaal-Orange CMA'!H52+'Mzimvubu-Tsitsikamma CMA'!H52+'Breede-Olifants CMA'!H52</f>
        <v>260660924.29395273</v>
      </c>
      <c r="I81" s="5">
        <f>'Limpopo-Olifants CMA'!I52+'Vaal-Orange CMA'!I52+'Mzimvubu-Tsitsikamma CMA'!I52+'Vaal-Orange CMA'!I52+'Mzimvubu-Tsitsikamma CMA'!I52+'Breede-Olifants CMA'!I52</f>
        <v>260660924.29395273</v>
      </c>
      <c r="J81" s="5">
        <f>'Limpopo-Olifants CMA'!J52+'Vaal-Orange CMA'!J52+'Mzimvubu-Tsitsikamma CMA'!J52+'Vaal-Orange CMA'!J52+'Mzimvubu-Tsitsikamma CMA'!J52+'Breede-Olifants CMA'!J52</f>
        <v>260660924.29395273</v>
      </c>
      <c r="K81" s="5">
        <f>'Limpopo-Olifants CMA'!K52+'Vaal-Orange CMA'!K52+'Mzimvubu-Tsitsikamma CMA'!K52+'Vaal-Orange CMA'!K52+'Mzimvubu-Tsitsikamma CMA'!K52+'Breede-Olifants CMA'!K52</f>
        <v>260660924.29395273</v>
      </c>
      <c r="L81" s="5">
        <f t="shared" si="30"/>
        <v>260660924.29395276</v>
      </c>
    </row>
    <row r="82" spans="1:12" x14ac:dyDescent="0.25">
      <c r="A82" s="4" t="s">
        <v>38</v>
      </c>
      <c r="B82" s="5">
        <f>'Limpopo-Olifants CMA'!B53+'Vaal-Orange CMA'!B53+'Mzimvubu-Tsitsikamma CMA'!B53+'Vaal-Orange CMA'!B53+'Mzimvubu-Tsitsikamma CMA'!B53+'Breede-Olifants CMA'!B53</f>
        <v>34942202.85071554</v>
      </c>
      <c r="C82" s="5">
        <f>'Limpopo-Olifants CMA'!C53+'Vaal-Orange CMA'!C53+'Mzimvubu-Tsitsikamma CMA'!C53+'Vaal-Orange CMA'!C53+'Mzimvubu-Tsitsikamma CMA'!C53+'Breede-Olifants CMA'!C53</f>
        <v>34942202.85071554</v>
      </c>
      <c r="D82" s="5">
        <f>'Limpopo-Olifants CMA'!D53+'Vaal-Orange CMA'!D53+'Mzimvubu-Tsitsikamma CMA'!D53+'Vaal-Orange CMA'!D53+'Mzimvubu-Tsitsikamma CMA'!D53+'Breede-Olifants CMA'!D53</f>
        <v>34942202.85071554</v>
      </c>
      <c r="E82" s="5">
        <f>'Limpopo-Olifants CMA'!E53+'Vaal-Orange CMA'!E53+'Mzimvubu-Tsitsikamma CMA'!E53+'Vaal-Orange CMA'!E53+'Mzimvubu-Tsitsikamma CMA'!E53+'Breede-Olifants CMA'!E53</f>
        <v>34942202.85071554</v>
      </c>
      <c r="F82" s="5">
        <f>'Limpopo-Olifants CMA'!F53+'Vaal-Orange CMA'!F53+'Mzimvubu-Tsitsikamma CMA'!F53+'Vaal-Orange CMA'!F53+'Mzimvubu-Tsitsikamma CMA'!F53+'Breede-Olifants CMA'!F53</f>
        <v>34942202.85071554</v>
      </c>
      <c r="G82" s="5">
        <f>'Limpopo-Olifants CMA'!G53+'Vaal-Orange CMA'!G53+'Mzimvubu-Tsitsikamma CMA'!G53+'Vaal-Orange CMA'!G53+'Mzimvubu-Tsitsikamma CMA'!G53+'Breede-Olifants CMA'!G53</f>
        <v>34942202.85071554</v>
      </c>
      <c r="H82" s="5">
        <f>'Limpopo-Olifants CMA'!H53+'Vaal-Orange CMA'!H53+'Mzimvubu-Tsitsikamma CMA'!H53+'Vaal-Orange CMA'!H53+'Mzimvubu-Tsitsikamma CMA'!H53+'Breede-Olifants CMA'!H53</f>
        <v>34942202.85071554</v>
      </c>
      <c r="I82" s="5">
        <f>'Limpopo-Olifants CMA'!I53+'Vaal-Orange CMA'!I53+'Mzimvubu-Tsitsikamma CMA'!I53+'Vaal-Orange CMA'!I53+'Mzimvubu-Tsitsikamma CMA'!I53+'Breede-Olifants CMA'!I53</f>
        <v>34942202.85071554</v>
      </c>
      <c r="J82" s="5">
        <f>'Limpopo-Olifants CMA'!J53+'Vaal-Orange CMA'!J53+'Mzimvubu-Tsitsikamma CMA'!J53+'Vaal-Orange CMA'!J53+'Mzimvubu-Tsitsikamma CMA'!J53+'Breede-Olifants CMA'!J53</f>
        <v>34942202.85071554</v>
      </c>
      <c r="K82" s="5">
        <f>'Limpopo-Olifants CMA'!K53+'Vaal-Orange CMA'!K53+'Mzimvubu-Tsitsikamma CMA'!K53+'Vaal-Orange CMA'!K53+'Mzimvubu-Tsitsikamma CMA'!K53+'Breede-Olifants CMA'!K53</f>
        <v>34942202.85071554</v>
      </c>
      <c r="L82" s="5">
        <f t="shared" si="30"/>
        <v>34942202.850715533</v>
      </c>
    </row>
    <row r="83" spans="1:12" x14ac:dyDescent="0.25">
      <c r="A83" s="4" t="s">
        <v>15</v>
      </c>
      <c r="B83" s="13">
        <f>'Limpopo-Olifants CMA'!B54+'Vaal-Orange CMA'!B54+'Mzimvubu-Tsitsikamma CMA'!B54+'Vaal-Orange CMA'!B54+'Mzimvubu-Tsitsikamma CMA'!B54+'Breede-Olifants CMA'!B54</f>
        <v>302314660.05799496</v>
      </c>
      <c r="C83" s="13">
        <f>'Limpopo-Olifants CMA'!C54+'Vaal-Orange CMA'!C54+'Mzimvubu-Tsitsikamma CMA'!C54+'Vaal-Orange CMA'!C54+'Mzimvubu-Tsitsikamma CMA'!C54+'Breede-Olifants CMA'!C54</f>
        <v>302314660.05799496</v>
      </c>
      <c r="D83" s="13">
        <f>'Limpopo-Olifants CMA'!D54+'Vaal-Orange CMA'!D54+'Mzimvubu-Tsitsikamma CMA'!D54+'Vaal-Orange CMA'!D54+'Mzimvubu-Tsitsikamma CMA'!D54+'Breede-Olifants CMA'!D54</f>
        <v>302314660.05799496</v>
      </c>
      <c r="E83" s="13">
        <f>'Limpopo-Olifants CMA'!E54+'Vaal-Orange CMA'!E54+'Mzimvubu-Tsitsikamma CMA'!E54+'Vaal-Orange CMA'!E54+'Mzimvubu-Tsitsikamma CMA'!E54+'Breede-Olifants CMA'!E54</f>
        <v>302314660.05799496</v>
      </c>
      <c r="F83" s="13">
        <f>'Limpopo-Olifants CMA'!F54+'Vaal-Orange CMA'!F54+'Mzimvubu-Tsitsikamma CMA'!F54+'Vaal-Orange CMA'!F54+'Mzimvubu-Tsitsikamma CMA'!F54+'Breede-Olifants CMA'!F54</f>
        <v>302314660.05799496</v>
      </c>
      <c r="G83" s="13">
        <f>'Limpopo-Olifants CMA'!G54+'Vaal-Orange CMA'!G54+'Mzimvubu-Tsitsikamma CMA'!G54+'Vaal-Orange CMA'!G54+'Mzimvubu-Tsitsikamma CMA'!G54+'Breede-Olifants CMA'!G54</f>
        <v>302314660.05799496</v>
      </c>
      <c r="H83" s="13">
        <f>'Limpopo-Olifants CMA'!H54+'Vaal-Orange CMA'!H54+'Mzimvubu-Tsitsikamma CMA'!H54+'Vaal-Orange CMA'!H54+'Mzimvubu-Tsitsikamma CMA'!H54+'Breede-Olifants CMA'!H54</f>
        <v>302314660.05799496</v>
      </c>
      <c r="I83" s="13">
        <f>'Limpopo-Olifants CMA'!I54+'Vaal-Orange CMA'!I54+'Mzimvubu-Tsitsikamma CMA'!I54+'Vaal-Orange CMA'!I54+'Mzimvubu-Tsitsikamma CMA'!I54+'Breede-Olifants CMA'!I54</f>
        <v>302314660.05799496</v>
      </c>
      <c r="J83" s="13">
        <f>'Limpopo-Olifants CMA'!J54+'Vaal-Orange CMA'!J54+'Mzimvubu-Tsitsikamma CMA'!J54+'Vaal-Orange CMA'!J54+'Mzimvubu-Tsitsikamma CMA'!J54+'Breede-Olifants CMA'!J54</f>
        <v>302314660.05799496</v>
      </c>
      <c r="K83" s="13">
        <f>'Limpopo-Olifants CMA'!K54+'Vaal-Orange CMA'!K54+'Mzimvubu-Tsitsikamma CMA'!K54+'Vaal-Orange CMA'!K54+'Mzimvubu-Tsitsikamma CMA'!K54+'Breede-Olifants CMA'!K54</f>
        <v>302314660.05799496</v>
      </c>
      <c r="L83" s="5">
        <f t="shared" si="30"/>
        <v>302314660.0579949</v>
      </c>
    </row>
    <row r="84" spans="1:12" x14ac:dyDescent="0.25">
      <c r="B84" s="5">
        <f t="shared" ref="B84:K84" si="31">SUM(B73:B83)</f>
        <v>1043956872.6484921</v>
      </c>
      <c r="C84" s="5">
        <f t="shared" si="31"/>
        <v>1043956872.6484921</v>
      </c>
      <c r="D84" s="5">
        <f t="shared" si="31"/>
        <v>1043956872.6484921</v>
      </c>
      <c r="E84" s="5">
        <f t="shared" si="31"/>
        <v>1043956872.6484921</v>
      </c>
      <c r="F84" s="5">
        <f t="shared" si="31"/>
        <v>1043956872.6484921</v>
      </c>
      <c r="G84" s="5">
        <f t="shared" si="31"/>
        <v>1043956872.6484921</v>
      </c>
      <c r="H84" s="5">
        <f t="shared" si="31"/>
        <v>1043956872.6484921</v>
      </c>
      <c r="I84" s="5">
        <f t="shared" si="31"/>
        <v>1043956872.6484921</v>
      </c>
      <c r="J84" s="5">
        <f t="shared" si="31"/>
        <v>1043956872.6484921</v>
      </c>
      <c r="K84" s="5">
        <f t="shared" si="31"/>
        <v>1043956872.6484921</v>
      </c>
      <c r="L84" s="5"/>
    </row>
    <row r="85" spans="1:12" x14ac:dyDescent="0.25">
      <c r="B85" s="16"/>
      <c r="C85" s="16"/>
      <c r="D85" s="16"/>
      <c r="E85" s="16"/>
      <c r="F85" s="16"/>
      <c r="G85" s="16"/>
      <c r="H85" s="16"/>
      <c r="I85" s="16"/>
      <c r="J85" s="16"/>
      <c r="K85" s="5"/>
      <c r="L85" s="5"/>
    </row>
    <row r="86" spans="1:12" s="3" customFormat="1" x14ac:dyDescent="0.25">
      <c r="A86" s="2" t="s">
        <v>82</v>
      </c>
    </row>
    <row r="88" spans="1:12" ht="30" x14ac:dyDescent="0.25">
      <c r="A88" s="15" t="s">
        <v>58</v>
      </c>
      <c r="B88" s="12" t="str">
        <f>'Summary dashboard'!C4</f>
        <v>2023</v>
      </c>
      <c r="C88" s="12">
        <f t="shared" ref="C88:K88" si="32">B88+1</f>
        <v>2024</v>
      </c>
      <c r="D88" s="12">
        <f t="shared" si="32"/>
        <v>2025</v>
      </c>
      <c r="E88" s="12">
        <f t="shared" si="32"/>
        <v>2026</v>
      </c>
      <c r="F88" s="12">
        <f t="shared" si="32"/>
        <v>2027</v>
      </c>
      <c r="G88" s="12">
        <f t="shared" si="32"/>
        <v>2028</v>
      </c>
      <c r="H88" s="12">
        <f t="shared" si="32"/>
        <v>2029</v>
      </c>
      <c r="I88" s="12">
        <f t="shared" si="32"/>
        <v>2030</v>
      </c>
      <c r="J88" s="12">
        <f t="shared" si="32"/>
        <v>2031</v>
      </c>
      <c r="K88" s="12">
        <f t="shared" si="32"/>
        <v>2032</v>
      </c>
      <c r="L88" s="1" t="s">
        <v>28</v>
      </c>
    </row>
    <row r="89" spans="1:12" x14ac:dyDescent="0.25">
      <c r="A89" s="4" t="s">
        <v>35</v>
      </c>
      <c r="B89" s="32" cm="1">
        <f t="array" aca="1" ref="B89" ca="1">INDIRECT("'"&amp;$C$1&amp;"'!B73")</f>
        <v>15117678.247337135</v>
      </c>
      <c r="C89" s="32" cm="1">
        <f t="array" aca="1" ref="C89" ca="1">INDIRECT("'"&amp;$C$1&amp;"'!C73")</f>
        <v>15117678.247337135</v>
      </c>
      <c r="D89" s="32" cm="1">
        <f t="array" aca="1" ref="D89" ca="1">INDIRECT("'"&amp;$C$1&amp;"'!d73")</f>
        <v>15117678.247337135</v>
      </c>
      <c r="E89" s="32" cm="1">
        <f t="array" aca="1" ref="E89" ca="1">INDIRECT("'"&amp;$C$1&amp;"'!e73")</f>
        <v>15117678.247337135</v>
      </c>
      <c r="F89" s="32" cm="1">
        <f t="array" aca="1" ref="F89" ca="1">INDIRECT("'"&amp;$C$1&amp;"'!f73")</f>
        <v>15117678.247337135</v>
      </c>
      <c r="G89" s="32" cm="1">
        <f t="array" aca="1" ref="G89" ca="1">INDIRECT("'"&amp;$C$1&amp;"'!g73")</f>
        <v>15117678.247337135</v>
      </c>
      <c r="H89" s="32" cm="1">
        <f t="array" aca="1" ref="H89" ca="1">INDIRECT("'"&amp;$C$1&amp;"'!h73")</f>
        <v>15117678.247337135</v>
      </c>
      <c r="I89" s="32" cm="1">
        <f t="array" aca="1" ref="I89" ca="1">INDIRECT("'"&amp;$C$1&amp;"'!i73")</f>
        <v>15117678.247337135</v>
      </c>
      <c r="J89" s="32" cm="1">
        <f t="array" aca="1" ref="J89" ca="1">INDIRECT("'"&amp;$C$1&amp;"'!j73")</f>
        <v>15117678.247337135</v>
      </c>
      <c r="K89" s="32" cm="1">
        <f t="array" aca="1" ref="K89" ca="1">INDIRECT("'"&amp;$C$1&amp;"'!k73")</f>
        <v>15117678.247337135</v>
      </c>
      <c r="L89" s="5">
        <f t="shared" ref="L89:L99" ca="1" si="33">AVERAGE(B89:K89)</f>
        <v>15117678.247337136</v>
      </c>
    </row>
    <row r="90" spans="1:12" x14ac:dyDescent="0.25">
      <c r="A90" s="4" t="s">
        <v>36</v>
      </c>
      <c r="B90" s="32" cm="1">
        <f t="array" aca="1" ref="B90" ca="1">INDIRECT("'"&amp;$C$1&amp;"'!B74")</f>
        <v>1453905.353588844</v>
      </c>
      <c r="C90" s="32" cm="1">
        <f t="array" aca="1" ref="C90" ca="1">INDIRECT("'"&amp;$C$1&amp;"'!C74")</f>
        <v>1453905.353588844</v>
      </c>
      <c r="D90" s="32" cm="1">
        <f t="array" aca="1" ref="D90" ca="1">INDIRECT("'"&amp;$C$1&amp;"'!d74")</f>
        <v>1453905.353588844</v>
      </c>
      <c r="E90" s="32" cm="1">
        <f t="array" aca="1" ref="E90" ca="1">INDIRECT("'"&amp;$C$1&amp;"'!e74")</f>
        <v>1453905.353588844</v>
      </c>
      <c r="F90" s="32" cm="1">
        <f t="array" aca="1" ref="F90" ca="1">INDIRECT("'"&amp;$C$1&amp;"'!f74")</f>
        <v>1453905.353588844</v>
      </c>
      <c r="G90" s="32" cm="1">
        <f t="array" aca="1" ref="G90" ca="1">INDIRECT("'"&amp;$C$1&amp;"'!g74")</f>
        <v>1453905.353588844</v>
      </c>
      <c r="H90" s="32" cm="1">
        <f t="array" aca="1" ref="H90" ca="1">INDIRECT("'"&amp;$C$1&amp;"'!h74")</f>
        <v>1453905.353588844</v>
      </c>
      <c r="I90" s="32" cm="1">
        <f t="array" aca="1" ref="I90" ca="1">INDIRECT("'"&amp;$C$1&amp;"'!i74")</f>
        <v>1453905.353588844</v>
      </c>
      <c r="J90" s="32" cm="1">
        <f t="array" aca="1" ref="J90" ca="1">INDIRECT("'"&amp;$C$1&amp;"'!j74")</f>
        <v>1453905.353588844</v>
      </c>
      <c r="K90" s="32" cm="1">
        <f t="array" aca="1" ref="K90" ca="1">INDIRECT("'"&amp;$C$1&amp;"'!k74")</f>
        <v>1453905.353588844</v>
      </c>
      <c r="L90" s="5">
        <f t="shared" ca="1" si="33"/>
        <v>1453905.353588844</v>
      </c>
    </row>
    <row r="91" spans="1:12" x14ac:dyDescent="0.25">
      <c r="A91" s="4" t="s">
        <v>11</v>
      </c>
      <c r="B91" s="32" cm="1">
        <f t="array" aca="1" ref="B91" ca="1">INDIRECT("'"&amp;$C$1&amp;"'!B75")</f>
        <v>0</v>
      </c>
      <c r="C91" s="32" cm="1">
        <f t="array" aca="1" ref="C91" ca="1">INDIRECT("'"&amp;$C$1&amp;"'!C75")</f>
        <v>0</v>
      </c>
      <c r="D91" s="32" cm="1">
        <f t="array" aca="1" ref="D91" ca="1">INDIRECT("'"&amp;$C$1&amp;"'!d75")</f>
        <v>0</v>
      </c>
      <c r="E91" s="32" cm="1">
        <f t="array" aca="1" ref="E91" ca="1">INDIRECT("'"&amp;$C$1&amp;"'!e75")</f>
        <v>0</v>
      </c>
      <c r="F91" s="32" cm="1">
        <f t="array" aca="1" ref="F91" ca="1">INDIRECT("'"&amp;$C$1&amp;"'!f75")</f>
        <v>0</v>
      </c>
      <c r="G91" s="32" cm="1">
        <f t="array" aca="1" ref="G91" ca="1">INDIRECT("'"&amp;$C$1&amp;"'!g75")</f>
        <v>0</v>
      </c>
      <c r="H91" s="32" cm="1">
        <f t="array" aca="1" ref="H91" ca="1">INDIRECT("'"&amp;$C$1&amp;"'!h75")</f>
        <v>0</v>
      </c>
      <c r="I91" s="32" cm="1">
        <f t="array" aca="1" ref="I91" ca="1">INDIRECT("'"&amp;$C$1&amp;"'!i75")</f>
        <v>0</v>
      </c>
      <c r="J91" s="32" cm="1">
        <f t="array" aca="1" ref="J91" ca="1">INDIRECT("'"&amp;$C$1&amp;"'!j75")</f>
        <v>0</v>
      </c>
      <c r="K91" s="32" cm="1">
        <f t="array" aca="1" ref="K91" ca="1">INDIRECT("'"&amp;$C$1&amp;"'!k75")</f>
        <v>0</v>
      </c>
      <c r="L91" s="5">
        <f t="shared" ca="1" si="33"/>
        <v>0</v>
      </c>
    </row>
    <row r="92" spans="1:12" x14ac:dyDescent="0.25">
      <c r="A92" s="4" t="s">
        <v>124</v>
      </c>
      <c r="B92" s="32" cm="1">
        <f t="array" aca="1" ref="B92" ca="1">INDIRECT("'"&amp;$C$1&amp;"'!B76")</f>
        <v>5437461.7201600941</v>
      </c>
      <c r="C92" s="32" cm="1">
        <f t="array" aca="1" ref="C92" ca="1">INDIRECT("'"&amp;$C$1&amp;"'!C76")</f>
        <v>5437461.7201600941</v>
      </c>
      <c r="D92" s="32" cm="1">
        <f t="array" aca="1" ref="D92" ca="1">INDIRECT("'"&amp;$C$1&amp;"'!d76")</f>
        <v>5437461.7201600941</v>
      </c>
      <c r="E92" s="32" cm="1">
        <f t="array" aca="1" ref="E92" ca="1">INDIRECT("'"&amp;$C$1&amp;"'!e76")</f>
        <v>5437461.7201600941</v>
      </c>
      <c r="F92" s="32" cm="1">
        <f t="array" aca="1" ref="F92" ca="1">INDIRECT("'"&amp;$C$1&amp;"'!f76")</f>
        <v>5437461.7201600941</v>
      </c>
      <c r="G92" s="32" cm="1">
        <f t="array" aca="1" ref="G92" ca="1">INDIRECT("'"&amp;$C$1&amp;"'!g76")</f>
        <v>5437461.7201600941</v>
      </c>
      <c r="H92" s="32" cm="1">
        <f t="array" aca="1" ref="H92" ca="1">INDIRECT("'"&amp;$C$1&amp;"'!h76")</f>
        <v>5437461.7201600941</v>
      </c>
      <c r="I92" s="32" cm="1">
        <f t="array" aca="1" ref="I92" ca="1">INDIRECT("'"&amp;$C$1&amp;"'!i76")</f>
        <v>5437461.7201600941</v>
      </c>
      <c r="J92" s="32" cm="1">
        <f t="array" aca="1" ref="J92" ca="1">INDIRECT("'"&amp;$C$1&amp;"'!j76")</f>
        <v>5437461.7201600941</v>
      </c>
      <c r="K92" s="32" cm="1">
        <f t="array" aca="1" ref="K92" ca="1">INDIRECT("'"&amp;$C$1&amp;"'!k76")</f>
        <v>5437461.7201600941</v>
      </c>
      <c r="L92" s="5">
        <f t="shared" ca="1" si="33"/>
        <v>5437461.720160095</v>
      </c>
    </row>
    <row r="93" spans="1:12" x14ac:dyDescent="0.25">
      <c r="A93" s="4" t="s">
        <v>12</v>
      </c>
      <c r="B93" s="32" cm="1">
        <f t="array" aca="1" ref="B93" ca="1">INDIRECT("'"&amp;$C$1&amp;"'!B77")</f>
        <v>0</v>
      </c>
      <c r="C93" s="32" cm="1">
        <f t="array" aca="1" ref="C93" ca="1">INDIRECT("'"&amp;$C$1&amp;"'!C77")</f>
        <v>0</v>
      </c>
      <c r="D93" s="32" cm="1">
        <f t="array" aca="1" ref="D93" ca="1">INDIRECT("'"&amp;$C$1&amp;"'!d77")</f>
        <v>0</v>
      </c>
      <c r="E93" s="32" cm="1">
        <f t="array" aca="1" ref="E93" ca="1">INDIRECT("'"&amp;$C$1&amp;"'!e77")</f>
        <v>0</v>
      </c>
      <c r="F93" s="32" cm="1">
        <f t="array" aca="1" ref="F93" ca="1">INDIRECT("'"&amp;$C$1&amp;"'!f77")</f>
        <v>0</v>
      </c>
      <c r="G93" s="32" cm="1">
        <f t="array" aca="1" ref="G93" ca="1">INDIRECT("'"&amp;$C$1&amp;"'!g77")</f>
        <v>0</v>
      </c>
      <c r="H93" s="32" cm="1">
        <f t="array" aca="1" ref="H93" ca="1">INDIRECT("'"&amp;$C$1&amp;"'!h77")</f>
        <v>0</v>
      </c>
      <c r="I93" s="32" cm="1">
        <f t="array" aca="1" ref="I93" ca="1">INDIRECT("'"&amp;$C$1&amp;"'!i77")</f>
        <v>0</v>
      </c>
      <c r="J93" s="32" cm="1">
        <f t="array" aca="1" ref="J93" ca="1">INDIRECT("'"&amp;$C$1&amp;"'!j77")</f>
        <v>0</v>
      </c>
      <c r="K93" s="32" cm="1">
        <f t="array" aca="1" ref="K93" ca="1">INDIRECT("'"&amp;$C$1&amp;"'!k77")</f>
        <v>0</v>
      </c>
      <c r="L93" s="5">
        <f t="shared" ca="1" si="33"/>
        <v>0</v>
      </c>
    </row>
    <row r="94" spans="1:12" x14ac:dyDescent="0.25">
      <c r="A94" s="4" t="s">
        <v>13</v>
      </c>
      <c r="B94" s="32" cm="1">
        <f t="array" aca="1" ref="B94" ca="1">INDIRECT("'"&amp;$C$1&amp;"'!B78")</f>
        <v>0</v>
      </c>
      <c r="C94" s="32" cm="1">
        <f t="array" aca="1" ref="C94" ca="1">INDIRECT("'"&amp;$C$1&amp;"'!C78")</f>
        <v>0</v>
      </c>
      <c r="D94" s="32" cm="1">
        <f t="array" aca="1" ref="D94" ca="1">INDIRECT("'"&amp;$C$1&amp;"'!d78")</f>
        <v>0</v>
      </c>
      <c r="E94" s="32" cm="1">
        <f t="array" aca="1" ref="E94" ca="1">INDIRECT("'"&amp;$C$1&amp;"'!e78")</f>
        <v>0</v>
      </c>
      <c r="F94" s="32" cm="1">
        <f t="array" aca="1" ref="F94" ca="1">INDIRECT("'"&amp;$C$1&amp;"'!f78")</f>
        <v>0</v>
      </c>
      <c r="G94" s="32" cm="1">
        <f t="array" aca="1" ref="G94" ca="1">INDIRECT("'"&amp;$C$1&amp;"'!g78")</f>
        <v>0</v>
      </c>
      <c r="H94" s="32" cm="1">
        <f t="array" aca="1" ref="H94" ca="1">INDIRECT("'"&amp;$C$1&amp;"'!h78")</f>
        <v>0</v>
      </c>
      <c r="I94" s="32" cm="1">
        <f t="array" aca="1" ref="I94" ca="1">INDIRECT("'"&amp;$C$1&amp;"'!i78")</f>
        <v>0</v>
      </c>
      <c r="J94" s="32" cm="1">
        <f t="array" aca="1" ref="J94" ca="1">INDIRECT("'"&amp;$C$1&amp;"'!j78")</f>
        <v>0</v>
      </c>
      <c r="K94" s="32" cm="1">
        <f t="array" aca="1" ref="K94" ca="1">INDIRECT("'"&amp;$C$1&amp;"'!k78")</f>
        <v>0</v>
      </c>
      <c r="L94" s="5">
        <f t="shared" ca="1" si="33"/>
        <v>0</v>
      </c>
    </row>
    <row r="95" spans="1:12" x14ac:dyDescent="0.25">
      <c r="A95" s="4" t="s">
        <v>14</v>
      </c>
      <c r="B95" s="32" cm="1">
        <f t="array" aca="1" ref="B95" ca="1">INDIRECT("'"&amp;$C$1&amp;"'!B79")</f>
        <v>0</v>
      </c>
      <c r="C95" s="32" cm="1">
        <f t="array" aca="1" ref="C95" ca="1">INDIRECT("'"&amp;$C$1&amp;"'!C79")</f>
        <v>0</v>
      </c>
      <c r="D95" s="32" cm="1">
        <f t="array" aca="1" ref="D95" ca="1">INDIRECT("'"&amp;$C$1&amp;"'!d79")</f>
        <v>0</v>
      </c>
      <c r="E95" s="32" cm="1">
        <f t="array" aca="1" ref="E95" ca="1">INDIRECT("'"&amp;$C$1&amp;"'!e79")</f>
        <v>0</v>
      </c>
      <c r="F95" s="32" cm="1">
        <f t="array" aca="1" ref="F95" ca="1">INDIRECT("'"&amp;$C$1&amp;"'!f79")</f>
        <v>0</v>
      </c>
      <c r="G95" s="32" cm="1">
        <f t="array" aca="1" ref="G95" ca="1">INDIRECT("'"&amp;$C$1&amp;"'!g79")</f>
        <v>0</v>
      </c>
      <c r="H95" s="32" cm="1">
        <f t="array" aca="1" ref="H95" ca="1">INDIRECT("'"&amp;$C$1&amp;"'!h79")</f>
        <v>0</v>
      </c>
      <c r="I95" s="32" cm="1">
        <f t="array" aca="1" ref="I95" ca="1">INDIRECT("'"&amp;$C$1&amp;"'!i79")</f>
        <v>0</v>
      </c>
      <c r="J95" s="32" cm="1">
        <f t="array" aca="1" ref="J95" ca="1">INDIRECT("'"&amp;$C$1&amp;"'!j79")</f>
        <v>0</v>
      </c>
      <c r="K95" s="32" cm="1">
        <f t="array" aca="1" ref="K95" ca="1">INDIRECT("'"&amp;$C$1&amp;"'!k79")</f>
        <v>0</v>
      </c>
      <c r="L95" s="5">
        <f t="shared" ca="1" si="33"/>
        <v>0</v>
      </c>
    </row>
    <row r="96" spans="1:12" x14ac:dyDescent="0.25">
      <c r="A96" s="4" t="s">
        <v>125</v>
      </c>
      <c r="B96" s="32" cm="1">
        <f t="array" aca="1" ref="B96" ca="1">INDIRECT("'"&amp;$C$1&amp;"'!B80")</f>
        <v>1659015.4134612025</v>
      </c>
      <c r="C96" s="32" cm="1">
        <f t="array" aca="1" ref="C96" ca="1">INDIRECT("'"&amp;$C$1&amp;"'!C80")</f>
        <v>1659015.4134612025</v>
      </c>
      <c r="D96" s="32" cm="1">
        <f t="array" aca="1" ref="D96" ca="1">INDIRECT("'"&amp;$C$1&amp;"'!d80")</f>
        <v>1659015.4134612025</v>
      </c>
      <c r="E96" s="32" cm="1">
        <f t="array" aca="1" ref="E96" ca="1">INDIRECT("'"&amp;$C$1&amp;"'!e80")</f>
        <v>1659015.4134612025</v>
      </c>
      <c r="F96" s="32" cm="1">
        <f t="array" aca="1" ref="F96" ca="1">INDIRECT("'"&amp;$C$1&amp;"'!f80")</f>
        <v>1659015.4134612025</v>
      </c>
      <c r="G96" s="32" cm="1">
        <f t="array" aca="1" ref="G96" ca="1">INDIRECT("'"&amp;$C$1&amp;"'!g80")</f>
        <v>1659015.4134612025</v>
      </c>
      <c r="H96" s="32" cm="1">
        <f t="array" aca="1" ref="H96" ca="1">INDIRECT("'"&amp;$C$1&amp;"'!h80")</f>
        <v>1659015.4134612025</v>
      </c>
      <c r="I96" s="32" cm="1">
        <f t="array" aca="1" ref="I96" ca="1">INDIRECT("'"&amp;$C$1&amp;"'!i80")</f>
        <v>1659015.4134612025</v>
      </c>
      <c r="J96" s="32" cm="1">
        <f t="array" aca="1" ref="J96" ca="1">INDIRECT("'"&amp;$C$1&amp;"'!j80")</f>
        <v>1659015.4134612025</v>
      </c>
      <c r="K96" s="32" cm="1">
        <f t="array" aca="1" ref="K96" ca="1">INDIRECT("'"&amp;$C$1&amp;"'!k80")</f>
        <v>1659015.4134612025</v>
      </c>
      <c r="L96" s="5">
        <f t="shared" ca="1" si="33"/>
        <v>1659015.4134612025</v>
      </c>
    </row>
    <row r="97" spans="1:12" x14ac:dyDescent="0.25">
      <c r="A97" s="4" t="s">
        <v>37</v>
      </c>
      <c r="B97" s="32" cm="1">
        <f t="array" aca="1" ref="B97" ca="1">INDIRECT("'"&amp;$C$1&amp;"'!B81")</f>
        <v>34583757.485978596</v>
      </c>
      <c r="C97" s="32" cm="1">
        <f t="array" aca="1" ref="C97" ca="1">INDIRECT("'"&amp;$C$1&amp;"'!C81")</f>
        <v>34583757.485978596</v>
      </c>
      <c r="D97" s="32" cm="1">
        <f t="array" aca="1" ref="D97" ca="1">INDIRECT("'"&amp;$C$1&amp;"'!d81")</f>
        <v>34583757.485978596</v>
      </c>
      <c r="E97" s="32" cm="1">
        <f t="array" aca="1" ref="E97" ca="1">INDIRECT("'"&amp;$C$1&amp;"'!e81")</f>
        <v>34583757.485978596</v>
      </c>
      <c r="F97" s="32" cm="1">
        <f t="array" aca="1" ref="F97" ca="1">INDIRECT("'"&amp;$C$1&amp;"'!f81")</f>
        <v>34583757.485978596</v>
      </c>
      <c r="G97" s="32" cm="1">
        <f t="array" aca="1" ref="G97" ca="1">INDIRECT("'"&amp;$C$1&amp;"'!g81")</f>
        <v>34583757.485978596</v>
      </c>
      <c r="H97" s="32" cm="1">
        <f t="array" aca="1" ref="H97" ca="1">INDIRECT("'"&amp;$C$1&amp;"'!h81")</f>
        <v>34583757.485978596</v>
      </c>
      <c r="I97" s="32" cm="1">
        <f t="array" aca="1" ref="I97" ca="1">INDIRECT("'"&amp;$C$1&amp;"'!i81")</f>
        <v>34583757.485978596</v>
      </c>
      <c r="J97" s="32" cm="1">
        <f t="array" aca="1" ref="J97" ca="1">INDIRECT("'"&amp;$C$1&amp;"'!j81")</f>
        <v>34583757.485978596</v>
      </c>
      <c r="K97" s="32" cm="1">
        <f t="array" aca="1" ref="K97" ca="1">INDIRECT("'"&amp;$C$1&amp;"'!k81")</f>
        <v>34583757.485978596</v>
      </c>
      <c r="L97" s="5">
        <f t="shared" ca="1" si="33"/>
        <v>34583757.485978596</v>
      </c>
    </row>
    <row r="98" spans="1:12" x14ac:dyDescent="0.25">
      <c r="A98" s="4" t="s">
        <v>38</v>
      </c>
      <c r="B98" s="32" cm="1">
        <f t="array" aca="1" ref="B98" ca="1">INDIRECT("'"&amp;$C$1&amp;"'!B82")</f>
        <v>0</v>
      </c>
      <c r="C98" s="32" cm="1">
        <f t="array" aca="1" ref="C98" ca="1">INDIRECT("'"&amp;$C$1&amp;"'!C82")</f>
        <v>0</v>
      </c>
      <c r="D98" s="32" cm="1">
        <f t="array" aca="1" ref="D98" ca="1">INDIRECT("'"&amp;$C$1&amp;"'!d82")</f>
        <v>0</v>
      </c>
      <c r="E98" s="32" cm="1">
        <f t="array" aca="1" ref="E98" ca="1">INDIRECT("'"&amp;$C$1&amp;"'!e82")</f>
        <v>0</v>
      </c>
      <c r="F98" s="32" cm="1">
        <f t="array" aca="1" ref="F98" ca="1">INDIRECT("'"&amp;$C$1&amp;"'!f82")</f>
        <v>0</v>
      </c>
      <c r="G98" s="32" cm="1">
        <f t="array" aca="1" ref="G98" ca="1">INDIRECT("'"&amp;$C$1&amp;"'!g82")</f>
        <v>0</v>
      </c>
      <c r="H98" s="32" cm="1">
        <f t="array" aca="1" ref="H98" ca="1">INDIRECT("'"&amp;$C$1&amp;"'!h82")</f>
        <v>0</v>
      </c>
      <c r="I98" s="32" cm="1">
        <f t="array" aca="1" ref="I98" ca="1">INDIRECT("'"&amp;$C$1&amp;"'!i82")</f>
        <v>0</v>
      </c>
      <c r="J98" s="32" cm="1">
        <f t="array" aca="1" ref="J98" ca="1">INDIRECT("'"&amp;$C$1&amp;"'!j82")</f>
        <v>0</v>
      </c>
      <c r="K98" s="32" cm="1">
        <f t="array" aca="1" ref="K98" ca="1">INDIRECT("'"&amp;$C$1&amp;"'!k82")</f>
        <v>0</v>
      </c>
      <c r="L98" s="5">
        <f t="shared" ca="1" si="33"/>
        <v>0</v>
      </c>
    </row>
    <row r="99" spans="1:12" x14ac:dyDescent="0.25">
      <c r="A99" s="4" t="s">
        <v>15</v>
      </c>
      <c r="B99" s="13" cm="1">
        <f t="array" aca="1" ref="B99" ca="1">INDIRECT("'"&amp;$C$1&amp;"'!B83")</f>
        <v>18655933.889166802</v>
      </c>
      <c r="C99" s="13" cm="1">
        <f t="array" aca="1" ref="C99" ca="1">INDIRECT("'"&amp;$C$1&amp;"'!C83")</f>
        <v>18655933.889166802</v>
      </c>
      <c r="D99" s="13" cm="1">
        <f t="array" aca="1" ref="D99" ca="1">INDIRECT("'"&amp;$C$1&amp;"'!d83")</f>
        <v>18655933.889166802</v>
      </c>
      <c r="E99" s="13" cm="1">
        <f t="array" aca="1" ref="E99" ca="1">INDIRECT("'"&amp;$C$1&amp;"'!e83")</f>
        <v>18655933.889166802</v>
      </c>
      <c r="F99" s="13" cm="1">
        <f t="array" aca="1" ref="F99" ca="1">INDIRECT("'"&amp;$C$1&amp;"'!f83")</f>
        <v>18655933.889166802</v>
      </c>
      <c r="G99" s="13" cm="1">
        <f t="array" aca="1" ref="G99" ca="1">INDIRECT("'"&amp;$C$1&amp;"'!g83")</f>
        <v>18655933.889166802</v>
      </c>
      <c r="H99" s="13" cm="1">
        <f t="array" aca="1" ref="H99" ca="1">INDIRECT("'"&amp;$C$1&amp;"'!h83")</f>
        <v>18655933.889166802</v>
      </c>
      <c r="I99" s="13" cm="1">
        <f t="array" aca="1" ref="I99" ca="1">INDIRECT("'"&amp;$C$1&amp;"'!i83")</f>
        <v>18655933.889166802</v>
      </c>
      <c r="J99" s="13" cm="1">
        <f t="array" aca="1" ref="J99" ca="1">INDIRECT("'"&amp;$C$1&amp;"'!j83")</f>
        <v>18655933.889166802</v>
      </c>
      <c r="K99" s="13" cm="1">
        <f t="array" aca="1" ref="K99" ca="1">INDIRECT("'"&amp;$C$1&amp;"'!k83")</f>
        <v>18655933.889166802</v>
      </c>
      <c r="L99" s="5">
        <f t="shared" ca="1" si="33"/>
        <v>18655933.889166802</v>
      </c>
    </row>
    <row r="100" spans="1:12" x14ac:dyDescent="0.25">
      <c r="B100" s="5">
        <f t="shared" ref="B100:K100" ca="1" si="34">SUM(B89:B99)</f>
        <v>76907752.109692663</v>
      </c>
      <c r="C100" s="5">
        <f t="shared" ca="1" si="34"/>
        <v>76907752.109692663</v>
      </c>
      <c r="D100" s="5">
        <f t="shared" ca="1" si="34"/>
        <v>76907752.109692663</v>
      </c>
      <c r="E100" s="5">
        <f t="shared" ca="1" si="34"/>
        <v>76907752.109692663</v>
      </c>
      <c r="F100" s="5">
        <f t="shared" ca="1" si="34"/>
        <v>76907752.109692663</v>
      </c>
      <c r="G100" s="5">
        <f t="shared" ca="1" si="34"/>
        <v>76907752.109692663</v>
      </c>
      <c r="H100" s="5">
        <f t="shared" ca="1" si="34"/>
        <v>76907752.109692663</v>
      </c>
      <c r="I100" s="5">
        <f t="shared" ca="1" si="34"/>
        <v>76907752.109692663</v>
      </c>
      <c r="J100" s="5">
        <f t="shared" ca="1" si="34"/>
        <v>76907752.109692663</v>
      </c>
      <c r="K100" s="5">
        <f t="shared" ca="1" si="34"/>
        <v>76907752.109692663</v>
      </c>
      <c r="L100" s="5"/>
    </row>
    <row r="101" spans="1:12" x14ac:dyDescent="0.25">
      <c r="L101" s="14"/>
    </row>
    <row r="102" spans="1:12" s="3" customFormat="1" x14ac:dyDescent="0.25">
      <c r="A102" s="2" t="s">
        <v>83</v>
      </c>
    </row>
    <row r="103" spans="1:12" x14ac:dyDescent="0.25">
      <c r="B103" s="1" t="str">
        <f>'Summary dashboard'!C4</f>
        <v>2023</v>
      </c>
      <c r="C103" s="1">
        <f>B103+1</f>
        <v>2024</v>
      </c>
      <c r="D103" s="1">
        <f t="shared" ref="D103:K103" si="35">C103+1</f>
        <v>2025</v>
      </c>
      <c r="E103" s="1">
        <f t="shared" si="35"/>
        <v>2026</v>
      </c>
      <c r="F103" s="1">
        <f t="shared" si="35"/>
        <v>2027</v>
      </c>
      <c r="G103" s="1">
        <f t="shared" si="35"/>
        <v>2028</v>
      </c>
      <c r="H103" s="1">
        <f t="shared" si="35"/>
        <v>2029</v>
      </c>
      <c r="I103" s="1">
        <f t="shared" si="35"/>
        <v>2030</v>
      </c>
      <c r="J103" s="1">
        <f t="shared" si="35"/>
        <v>2031</v>
      </c>
      <c r="K103" s="1">
        <f t="shared" si="35"/>
        <v>2032</v>
      </c>
    </row>
    <row r="104" spans="1:12" x14ac:dyDescent="0.25">
      <c r="A104" s="1" t="s">
        <v>110</v>
      </c>
      <c r="B104" s="16">
        <f>B68/B84</f>
        <v>0.25887280700162824</v>
      </c>
      <c r="C104" s="16">
        <f t="shared" ref="C104:K104" si="36">C68/C84</f>
        <v>0.25887280700162824</v>
      </c>
      <c r="D104" s="16">
        <f t="shared" si="36"/>
        <v>0.25887280700162824</v>
      </c>
      <c r="E104" s="16">
        <f t="shared" si="36"/>
        <v>0.25887280700162824</v>
      </c>
      <c r="F104" s="16">
        <f>F68/F84</f>
        <v>0.25887280700162824</v>
      </c>
      <c r="G104" s="16">
        <f t="shared" si="36"/>
        <v>0.25887280700162824</v>
      </c>
      <c r="H104" s="16">
        <f t="shared" si="36"/>
        <v>0.25887280700162824</v>
      </c>
      <c r="I104" s="16">
        <f t="shared" si="36"/>
        <v>0.25887280700162824</v>
      </c>
      <c r="J104" s="16">
        <f t="shared" si="36"/>
        <v>0.25887280700162824</v>
      </c>
      <c r="K104" s="16">
        <f t="shared" si="36"/>
        <v>0.25887280700162824</v>
      </c>
    </row>
    <row r="105" spans="1:12" x14ac:dyDescent="0.25">
      <c r="A105" s="1"/>
      <c r="B105" s="1"/>
      <c r="C105" s="1"/>
      <c r="D105" s="1"/>
      <c r="E105" s="1"/>
      <c r="F105" s="1"/>
      <c r="G105" s="1"/>
      <c r="H105" s="1"/>
      <c r="I105" s="1"/>
      <c r="J105" s="1"/>
      <c r="K105" s="1"/>
    </row>
    <row r="106" spans="1:12" x14ac:dyDescent="0.25">
      <c r="A106" s="1"/>
      <c r="B106" s="1" t="s">
        <v>54</v>
      </c>
      <c r="C106" s="1"/>
      <c r="D106" s="1"/>
      <c r="E106" s="1"/>
      <c r="F106" s="1"/>
      <c r="G106" s="1"/>
      <c r="H106" s="1"/>
      <c r="I106" s="1"/>
      <c r="J106" s="1"/>
      <c r="K106" s="1"/>
    </row>
    <row r="107" spans="1:12" x14ac:dyDescent="0.25">
      <c r="A107" s="1" t="s">
        <v>53</v>
      </c>
      <c r="B107" s="16">
        <f>SUM(B68:K68)/SUM(B84:K84)</f>
        <v>0.25887280700162829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BE903-5A54-49F8-91FE-90CAA4E350F1}">
  <dimension ref="A1:M562"/>
  <sheetViews>
    <sheetView workbookViewId="0"/>
  </sheetViews>
  <sheetFormatPr defaultRowHeight="15" x14ac:dyDescent="0.25"/>
  <cols>
    <col min="1" max="1" width="34.140625" customWidth="1"/>
    <col min="2" max="12" width="16.7109375" customWidth="1"/>
    <col min="13" max="13" width="12.42578125" bestFit="1" customWidth="1"/>
  </cols>
  <sheetData>
    <row r="1" spans="1:11" s="3" customFormat="1" x14ac:dyDescent="0.25">
      <c r="A1" s="2" t="s">
        <v>123</v>
      </c>
      <c r="B1" s="2"/>
    </row>
    <row r="2" spans="1:11" s="4" customFormat="1" ht="30" x14ac:dyDescent="0.25">
      <c r="A2" s="4" t="s">
        <v>78</v>
      </c>
      <c r="B2" s="4" t="s">
        <v>42</v>
      </c>
      <c r="C2" s="4" t="s">
        <v>31</v>
      </c>
      <c r="D2" s="4" t="s">
        <v>50</v>
      </c>
      <c r="E2" s="4" t="s">
        <v>33</v>
      </c>
      <c r="F2" s="4" t="s">
        <v>32</v>
      </c>
      <c r="G2" s="4" t="s">
        <v>34</v>
      </c>
    </row>
    <row r="3" spans="1:11" x14ac:dyDescent="0.25">
      <c r="A3" t="s">
        <v>35</v>
      </c>
      <c r="B3" s="5">
        <f>'Data inputs'!B29</f>
        <v>4985529.0415000003</v>
      </c>
      <c r="C3" s="5">
        <f>'Data inputs'!C29</f>
        <v>13355253.223953461</v>
      </c>
      <c r="D3" s="5">
        <f>'Data inputs'!D29</f>
        <v>13973536.140000002</v>
      </c>
      <c r="E3" s="5">
        <f>'Data inputs'!E29</f>
        <v>9632104.7785999998</v>
      </c>
      <c r="F3" s="5">
        <f>'Data inputs'!F29</f>
        <v>10898772.345000001</v>
      </c>
      <c r="G3" s="5">
        <f>'Data inputs'!G29</f>
        <v>26711525.53247565</v>
      </c>
      <c r="H3" s="14"/>
    </row>
    <row r="4" spans="1:11" x14ac:dyDescent="0.25">
      <c r="A4" t="s">
        <v>36</v>
      </c>
      <c r="B4" s="5">
        <f>'Data inputs'!B30</f>
        <v>3607098.0599999996</v>
      </c>
      <c r="C4" s="5">
        <f>'Data inputs'!C30</f>
        <v>5424291.8557658447</v>
      </c>
      <c r="D4" s="5">
        <f>'Data inputs'!D30</f>
        <v>0</v>
      </c>
      <c r="E4" s="5">
        <f>'Data inputs'!E30</f>
        <v>9196844.3790000007</v>
      </c>
      <c r="F4" s="5">
        <f>'Data inputs'!F30</f>
        <v>6599505.0250000004</v>
      </c>
      <c r="G4" s="5">
        <f>'Data inputs'!G30</f>
        <v>7484555.0927052032</v>
      </c>
    </row>
    <row r="5" spans="1:11" x14ac:dyDescent="0.25">
      <c r="A5" t="s">
        <v>11</v>
      </c>
      <c r="B5" s="5">
        <f>'Data inputs'!B31</f>
        <v>0</v>
      </c>
      <c r="C5" s="5">
        <f>'Data inputs'!C31</f>
        <v>0</v>
      </c>
      <c r="D5" s="5">
        <f>'Data inputs'!D31</f>
        <v>0</v>
      </c>
      <c r="E5" s="5">
        <f>'Data inputs'!E31</f>
        <v>0</v>
      </c>
      <c r="F5" s="5">
        <f>'Data inputs'!F31</f>
        <v>0</v>
      </c>
      <c r="G5" s="5">
        <f>'Data inputs'!G31</f>
        <v>0</v>
      </c>
    </row>
    <row r="6" spans="1:11" x14ac:dyDescent="0.25">
      <c r="A6" t="s">
        <v>124</v>
      </c>
      <c r="B6" s="5">
        <f>'Data inputs'!B32</f>
        <v>500000</v>
      </c>
      <c r="C6" s="5">
        <f>'Data inputs'!C32</f>
        <v>5062017.417942144</v>
      </c>
      <c r="D6" s="5">
        <f>'Data inputs'!D32</f>
        <v>500000</v>
      </c>
      <c r="E6" s="5">
        <f>'Data inputs'!E32</f>
        <v>6181489.4050000012</v>
      </c>
      <c r="F6" s="5">
        <f>'Data inputs'!F32</f>
        <v>500000</v>
      </c>
      <c r="G6" s="5">
        <f>'Data inputs'!G32</f>
        <v>500000</v>
      </c>
    </row>
    <row r="7" spans="1:11" x14ac:dyDescent="0.25">
      <c r="A7" t="s">
        <v>12</v>
      </c>
      <c r="B7" s="5">
        <f>'Data inputs'!B33</f>
        <v>23007240.546666663</v>
      </c>
      <c r="C7" s="5">
        <f>'Data inputs'!C33</f>
        <v>29452214.264679439</v>
      </c>
      <c r="D7" s="5">
        <f>'Data inputs'!D33</f>
        <v>32756956.829999998</v>
      </c>
      <c r="E7" s="5">
        <f>'Data inputs'!E33</f>
        <v>46339876.588466674</v>
      </c>
      <c r="F7" s="5">
        <f>'Data inputs'!F33</f>
        <v>15135160.683333334</v>
      </c>
      <c r="G7" s="5">
        <f>'Data inputs'!G33</f>
        <v>28754239.431943417</v>
      </c>
    </row>
    <row r="8" spans="1:11" x14ac:dyDescent="0.25">
      <c r="A8" t="s">
        <v>13</v>
      </c>
      <c r="B8" s="5">
        <f>'Data inputs'!B34</f>
        <v>0</v>
      </c>
      <c r="C8" s="5">
        <f>'Data inputs'!C34</f>
        <v>0</v>
      </c>
      <c r="D8" s="5">
        <f>'Data inputs'!D34</f>
        <v>0</v>
      </c>
      <c r="E8" s="5">
        <f>'Data inputs'!E34</f>
        <v>0</v>
      </c>
      <c r="F8" s="5">
        <f>'Data inputs'!F34</f>
        <v>0</v>
      </c>
      <c r="G8" s="5">
        <f>'Data inputs'!G34</f>
        <v>5078382.9124949528</v>
      </c>
    </row>
    <row r="9" spans="1:11" x14ac:dyDescent="0.25">
      <c r="A9" t="s">
        <v>14</v>
      </c>
      <c r="B9" s="5">
        <f>'Data inputs'!B35</f>
        <v>0</v>
      </c>
      <c r="C9" s="5">
        <f>'Data inputs'!C35</f>
        <v>0</v>
      </c>
      <c r="D9" s="5">
        <f>'Data inputs'!D35</f>
        <v>0</v>
      </c>
      <c r="E9" s="5">
        <f>'Data inputs'!E35</f>
        <v>0</v>
      </c>
      <c r="F9" s="5">
        <f>'Data inputs'!F35</f>
        <v>0</v>
      </c>
      <c r="G9" s="5">
        <f>'Data inputs'!G35</f>
        <v>0</v>
      </c>
    </row>
    <row r="10" spans="1:11" x14ac:dyDescent="0.25">
      <c r="A10" t="s">
        <v>125</v>
      </c>
      <c r="B10" s="5">
        <f>'Data inputs'!B36</f>
        <v>0</v>
      </c>
      <c r="C10" s="5">
        <f>'Data inputs'!C36</f>
        <v>0</v>
      </c>
      <c r="D10" s="5">
        <f>'Data inputs'!D36</f>
        <v>0</v>
      </c>
      <c r="E10" s="5">
        <f>'Data inputs'!E36</f>
        <v>0</v>
      </c>
      <c r="F10" s="5">
        <f>'Data inputs'!F36</f>
        <v>0</v>
      </c>
      <c r="G10" s="5">
        <f>'Data inputs'!G36</f>
        <v>13332350.021359622</v>
      </c>
    </row>
    <row r="11" spans="1:11" x14ac:dyDescent="0.25">
      <c r="A11" t="s">
        <v>37</v>
      </c>
      <c r="B11" s="5">
        <f>'Data inputs'!B37</f>
        <v>33951202.913499996</v>
      </c>
      <c r="C11" s="5">
        <f>'Data inputs'!C37</f>
        <v>31747599.409519795</v>
      </c>
      <c r="D11" s="5">
        <f>'Data inputs'!D37</f>
        <v>36294819.539999999</v>
      </c>
      <c r="E11" s="5">
        <f>'Data inputs'!E37</f>
        <v>37765910.174399994</v>
      </c>
      <c r="F11" s="5">
        <f>'Data inputs'!F37</f>
        <v>25646636.425000001</v>
      </c>
      <c r="G11" s="5">
        <f>'Data inputs'!G37</f>
        <v>23713039.406007089</v>
      </c>
    </row>
    <row r="12" spans="1:11" x14ac:dyDescent="0.25">
      <c r="A12" t="s">
        <v>38</v>
      </c>
      <c r="B12" s="5">
        <f>'Data inputs'!B38</f>
        <v>3370753.2299999995</v>
      </c>
      <c r="C12" s="5">
        <f>'Data inputs'!C38</f>
        <v>6581777.2667037519</v>
      </c>
      <c r="D12" s="5">
        <f>'Data inputs'!D38</f>
        <v>1001394.4499999998</v>
      </c>
      <c r="E12" s="5">
        <f>'Data inputs'!E38</f>
        <v>14884789.340000005</v>
      </c>
      <c r="F12" s="5">
        <f>'Data inputs'!F38</f>
        <v>1892491.0200000003</v>
      </c>
      <c r="G12" s="5">
        <f>'Data inputs'!G38</f>
        <v>11476184.42343713</v>
      </c>
    </row>
    <row r="13" spans="1:11" x14ac:dyDescent="0.25">
      <c r="A13" t="s">
        <v>15</v>
      </c>
      <c r="B13" s="5">
        <f>'Data inputs'!B39</f>
        <v>62407187.247000001</v>
      </c>
      <c r="C13" s="5">
        <f>'Data inputs'!C39</f>
        <v>40414846.561435595</v>
      </c>
      <c r="D13" s="5">
        <f>'Data inputs'!D39</f>
        <v>17344926.445833329</v>
      </c>
      <c r="E13" s="5">
        <f>'Data inputs'!E39</f>
        <v>54969548.037499994</v>
      </c>
      <c r="F13" s="5">
        <f>'Data inputs'!F39</f>
        <v>36232253.895000003</v>
      </c>
      <c r="G13" s="5">
        <f>'Data inputs'!G39</f>
        <v>29380897.94441025</v>
      </c>
    </row>
    <row r="14" spans="1:11" x14ac:dyDescent="0.25">
      <c r="B14" s="14">
        <f>SUM(B3:B13)</f>
        <v>131829011.03866667</v>
      </c>
      <c r="C14" s="14">
        <f t="shared" ref="C14:G14" si="0">SUM(C3:C13)</f>
        <v>132038000.00000003</v>
      </c>
      <c r="D14" s="14">
        <f t="shared" si="0"/>
        <v>101871633.40583332</v>
      </c>
      <c r="E14" s="14">
        <f t="shared" si="0"/>
        <v>178970562.70296666</v>
      </c>
      <c r="F14" s="14">
        <f t="shared" si="0"/>
        <v>96904819.393333346</v>
      </c>
      <c r="G14" s="14">
        <f t="shared" si="0"/>
        <v>146431174.76483333</v>
      </c>
    </row>
    <row r="15" spans="1:11" s="3" customFormat="1" x14ac:dyDescent="0.25">
      <c r="A15" s="2" t="s">
        <v>42</v>
      </c>
    </row>
    <row r="16" spans="1:11" x14ac:dyDescent="0.25">
      <c r="B16" s="12" t="str">
        <f>'Summary dashboard'!C4</f>
        <v>2023</v>
      </c>
      <c r="C16" s="12">
        <f>B16+1</f>
        <v>2024</v>
      </c>
      <c r="D16" s="12">
        <f t="shared" ref="D16:J16" si="1">C16+1</f>
        <v>2025</v>
      </c>
      <c r="E16" s="12">
        <f t="shared" si="1"/>
        <v>2026</v>
      </c>
      <c r="F16" s="12">
        <f t="shared" si="1"/>
        <v>2027</v>
      </c>
      <c r="G16" s="12">
        <f t="shared" si="1"/>
        <v>2028</v>
      </c>
      <c r="H16" s="12">
        <f t="shared" si="1"/>
        <v>2029</v>
      </c>
      <c r="I16" s="12">
        <f t="shared" si="1"/>
        <v>2030</v>
      </c>
      <c r="J16" s="12">
        <f t="shared" si="1"/>
        <v>2031</v>
      </c>
      <c r="K16" s="12">
        <f>J16+1</f>
        <v>2032</v>
      </c>
    </row>
    <row r="17" spans="1:12" x14ac:dyDescent="0.25">
      <c r="A17" s="4" t="s">
        <v>35</v>
      </c>
      <c r="B17" s="16">
        <f>'Limpopo-Olifants CMA'!B31</f>
        <v>1</v>
      </c>
      <c r="C17" s="16">
        <f>'Limpopo-Olifants CMA'!C31</f>
        <v>1</v>
      </c>
      <c r="D17" s="16">
        <f>'Limpopo-Olifants CMA'!D31</f>
        <v>1</v>
      </c>
      <c r="E17" s="16">
        <f>'Limpopo-Olifants CMA'!E31</f>
        <v>1</v>
      </c>
      <c r="F17" s="16">
        <f>'Limpopo-Olifants CMA'!F31</f>
        <v>1</v>
      </c>
      <c r="G17" s="16">
        <f>'Limpopo-Olifants CMA'!G31</f>
        <v>1</v>
      </c>
      <c r="H17" s="16">
        <f>'Limpopo-Olifants CMA'!H31</f>
        <v>1</v>
      </c>
      <c r="I17" s="16">
        <f>'Limpopo-Olifants CMA'!I31</f>
        <v>1</v>
      </c>
      <c r="J17" s="16">
        <f>'Limpopo-Olifants CMA'!J31</f>
        <v>1</v>
      </c>
      <c r="K17" s="16">
        <f>'Limpopo-Olifants CMA'!K31</f>
        <v>1</v>
      </c>
    </row>
    <row r="18" spans="1:12" x14ac:dyDescent="0.25">
      <c r="A18" s="4" t="s">
        <v>36</v>
      </c>
      <c r="B18" s="16">
        <f>'Limpopo-Olifants CMA'!B32</f>
        <v>1</v>
      </c>
      <c r="C18" s="16">
        <f>'Limpopo-Olifants CMA'!C32</f>
        <v>1</v>
      </c>
      <c r="D18" s="16">
        <f>'Limpopo-Olifants CMA'!D32</f>
        <v>1</v>
      </c>
      <c r="E18" s="16">
        <f>'Limpopo-Olifants CMA'!E32</f>
        <v>1</v>
      </c>
      <c r="F18" s="16">
        <f>'Limpopo-Olifants CMA'!F32</f>
        <v>1</v>
      </c>
      <c r="G18" s="16">
        <f>'Limpopo-Olifants CMA'!G32</f>
        <v>1</v>
      </c>
      <c r="H18" s="16">
        <f>'Limpopo-Olifants CMA'!H32</f>
        <v>1</v>
      </c>
      <c r="I18" s="16">
        <f>'Limpopo-Olifants CMA'!I32</f>
        <v>1</v>
      </c>
      <c r="J18" s="16">
        <f>'Limpopo-Olifants CMA'!J32</f>
        <v>1</v>
      </c>
      <c r="K18" s="16">
        <f>'Limpopo-Olifants CMA'!K32</f>
        <v>1</v>
      </c>
    </row>
    <row r="19" spans="1:12" x14ac:dyDescent="0.25">
      <c r="A19" s="4" t="s">
        <v>11</v>
      </c>
      <c r="B19" s="16">
        <f>'Limpopo-Olifants CMA'!B33</f>
        <v>1</v>
      </c>
      <c r="C19" s="16">
        <f>'Limpopo-Olifants CMA'!C33</f>
        <v>1</v>
      </c>
      <c r="D19" s="16">
        <f>'Limpopo-Olifants CMA'!D33</f>
        <v>1</v>
      </c>
      <c r="E19" s="16">
        <f>'Limpopo-Olifants CMA'!E33</f>
        <v>1</v>
      </c>
      <c r="F19" s="16">
        <f>'Limpopo-Olifants CMA'!F33</f>
        <v>1</v>
      </c>
      <c r="G19" s="16">
        <f>'Limpopo-Olifants CMA'!G33</f>
        <v>1</v>
      </c>
      <c r="H19" s="16">
        <f>'Limpopo-Olifants CMA'!H33</f>
        <v>1</v>
      </c>
      <c r="I19" s="16">
        <f>'Limpopo-Olifants CMA'!I33</f>
        <v>1</v>
      </c>
      <c r="J19" s="16">
        <f>'Limpopo-Olifants CMA'!J33</f>
        <v>1</v>
      </c>
      <c r="K19" s="16">
        <f>'Limpopo-Olifants CMA'!K33</f>
        <v>1</v>
      </c>
    </row>
    <row r="20" spans="1:12" x14ac:dyDescent="0.25">
      <c r="A20" s="4" t="s">
        <v>124</v>
      </c>
      <c r="B20" s="16">
        <f>'Limpopo-Olifants CMA'!B34</f>
        <v>1</v>
      </c>
      <c r="C20" s="16">
        <f>'Limpopo-Olifants CMA'!C34</f>
        <v>1</v>
      </c>
      <c r="D20" s="16">
        <f>'Limpopo-Olifants CMA'!D34</f>
        <v>1</v>
      </c>
      <c r="E20" s="16">
        <f>'Limpopo-Olifants CMA'!E34</f>
        <v>1</v>
      </c>
      <c r="F20" s="16">
        <f>'Limpopo-Olifants CMA'!F34</f>
        <v>1</v>
      </c>
      <c r="G20" s="16">
        <f>'Limpopo-Olifants CMA'!G34</f>
        <v>1</v>
      </c>
      <c r="H20" s="16">
        <f>'Limpopo-Olifants CMA'!H34</f>
        <v>1</v>
      </c>
      <c r="I20" s="16">
        <f>'Limpopo-Olifants CMA'!I34</f>
        <v>1</v>
      </c>
      <c r="J20" s="16">
        <f>'Limpopo-Olifants CMA'!J34</f>
        <v>1</v>
      </c>
      <c r="K20" s="16">
        <f>'Limpopo-Olifants CMA'!K34</f>
        <v>1</v>
      </c>
    </row>
    <row r="21" spans="1:12" x14ac:dyDescent="0.25">
      <c r="A21" s="4" t="s">
        <v>12</v>
      </c>
      <c r="B21" s="16">
        <f>'Limpopo-Olifants CMA'!B35</f>
        <v>1</v>
      </c>
      <c r="C21" s="16">
        <f>'Limpopo-Olifants CMA'!C35</f>
        <v>1</v>
      </c>
      <c r="D21" s="16">
        <f>'Limpopo-Olifants CMA'!D35</f>
        <v>1</v>
      </c>
      <c r="E21" s="16">
        <f>'Limpopo-Olifants CMA'!E35</f>
        <v>1</v>
      </c>
      <c r="F21" s="16">
        <f>'Limpopo-Olifants CMA'!F35</f>
        <v>1</v>
      </c>
      <c r="G21" s="16">
        <f>'Limpopo-Olifants CMA'!G35</f>
        <v>1</v>
      </c>
      <c r="H21" s="16">
        <f>'Limpopo-Olifants CMA'!H35</f>
        <v>1</v>
      </c>
      <c r="I21" s="16">
        <f>'Limpopo-Olifants CMA'!I35</f>
        <v>1</v>
      </c>
      <c r="J21" s="16">
        <f>'Limpopo-Olifants CMA'!J35</f>
        <v>1</v>
      </c>
      <c r="K21" s="16">
        <f>'Limpopo-Olifants CMA'!K35</f>
        <v>1</v>
      </c>
    </row>
    <row r="22" spans="1:12" x14ac:dyDescent="0.25">
      <c r="A22" s="4" t="s">
        <v>13</v>
      </c>
      <c r="B22" s="16">
        <f>'Limpopo-Olifants CMA'!B36</f>
        <v>1</v>
      </c>
      <c r="C22" s="16">
        <f>'Limpopo-Olifants CMA'!C36</f>
        <v>1</v>
      </c>
      <c r="D22" s="16">
        <f>'Limpopo-Olifants CMA'!D36</f>
        <v>1</v>
      </c>
      <c r="E22" s="16">
        <f>'Limpopo-Olifants CMA'!E36</f>
        <v>1</v>
      </c>
      <c r="F22" s="16">
        <f>'Limpopo-Olifants CMA'!F36</f>
        <v>1</v>
      </c>
      <c r="G22" s="16">
        <f>'Limpopo-Olifants CMA'!G36</f>
        <v>1</v>
      </c>
      <c r="H22" s="16">
        <f>'Limpopo-Olifants CMA'!H36</f>
        <v>1</v>
      </c>
      <c r="I22" s="16">
        <f>'Limpopo-Olifants CMA'!I36</f>
        <v>1</v>
      </c>
      <c r="J22" s="16">
        <f>'Limpopo-Olifants CMA'!J36</f>
        <v>1</v>
      </c>
      <c r="K22" s="16">
        <f>'Limpopo-Olifants CMA'!K36</f>
        <v>1</v>
      </c>
    </row>
    <row r="23" spans="1:12" x14ac:dyDescent="0.25">
      <c r="A23" s="4" t="s">
        <v>14</v>
      </c>
      <c r="B23" s="16">
        <f>'Limpopo-Olifants CMA'!B37</f>
        <v>1</v>
      </c>
      <c r="C23" s="16">
        <f>'Limpopo-Olifants CMA'!C37</f>
        <v>1</v>
      </c>
      <c r="D23" s="16">
        <f>'Limpopo-Olifants CMA'!D37</f>
        <v>1</v>
      </c>
      <c r="E23" s="16">
        <f>'Limpopo-Olifants CMA'!E37</f>
        <v>1</v>
      </c>
      <c r="F23" s="16">
        <f>'Limpopo-Olifants CMA'!F37</f>
        <v>1</v>
      </c>
      <c r="G23" s="16">
        <f>'Limpopo-Olifants CMA'!G37</f>
        <v>1</v>
      </c>
      <c r="H23" s="16">
        <f>'Limpopo-Olifants CMA'!H37</f>
        <v>1</v>
      </c>
      <c r="I23" s="16">
        <f>'Limpopo-Olifants CMA'!I37</f>
        <v>1</v>
      </c>
      <c r="J23" s="16">
        <f>'Limpopo-Olifants CMA'!J37</f>
        <v>1</v>
      </c>
      <c r="K23" s="16">
        <f>'Limpopo-Olifants CMA'!K37</f>
        <v>1</v>
      </c>
    </row>
    <row r="24" spans="1:12" x14ac:dyDescent="0.25">
      <c r="A24" s="4" t="s">
        <v>125</v>
      </c>
      <c r="B24" s="16">
        <f>'Limpopo-Olifants CMA'!B38</f>
        <v>1</v>
      </c>
      <c r="C24" s="16">
        <f>'Limpopo-Olifants CMA'!C38</f>
        <v>1</v>
      </c>
      <c r="D24" s="16">
        <f>'Limpopo-Olifants CMA'!D38</f>
        <v>1</v>
      </c>
      <c r="E24" s="16">
        <f>'Limpopo-Olifants CMA'!E38</f>
        <v>1</v>
      </c>
      <c r="F24" s="16">
        <f>'Limpopo-Olifants CMA'!F38</f>
        <v>1</v>
      </c>
      <c r="G24" s="16">
        <f>'Limpopo-Olifants CMA'!G38</f>
        <v>1</v>
      </c>
      <c r="H24" s="16">
        <f>'Limpopo-Olifants CMA'!H38</f>
        <v>1</v>
      </c>
      <c r="I24" s="16">
        <f>'Limpopo-Olifants CMA'!I38</f>
        <v>1</v>
      </c>
      <c r="J24" s="16">
        <f>'Limpopo-Olifants CMA'!J38</f>
        <v>1</v>
      </c>
      <c r="K24" s="16">
        <f>'Limpopo-Olifants CMA'!K38</f>
        <v>1</v>
      </c>
    </row>
    <row r="25" spans="1:12" x14ac:dyDescent="0.25">
      <c r="A25" s="4" t="s">
        <v>37</v>
      </c>
      <c r="B25" s="16">
        <f>'Limpopo-Olifants CMA'!B39</f>
        <v>1</v>
      </c>
      <c r="C25" s="16">
        <f>'Limpopo-Olifants CMA'!C39</f>
        <v>1</v>
      </c>
      <c r="D25" s="16">
        <f>'Limpopo-Olifants CMA'!D39</f>
        <v>1</v>
      </c>
      <c r="E25" s="16">
        <f>'Limpopo-Olifants CMA'!E39</f>
        <v>1</v>
      </c>
      <c r="F25" s="16">
        <f>'Limpopo-Olifants CMA'!F39</f>
        <v>1</v>
      </c>
      <c r="G25" s="16">
        <f>'Limpopo-Olifants CMA'!G39</f>
        <v>1</v>
      </c>
      <c r="H25" s="16">
        <f>'Limpopo-Olifants CMA'!H39</f>
        <v>1</v>
      </c>
      <c r="I25" s="16">
        <f>'Limpopo-Olifants CMA'!I39</f>
        <v>1</v>
      </c>
      <c r="J25" s="16">
        <f>'Limpopo-Olifants CMA'!J39</f>
        <v>1</v>
      </c>
      <c r="K25" s="16">
        <f>'Limpopo-Olifants CMA'!K39</f>
        <v>1</v>
      </c>
    </row>
    <row r="26" spans="1:12" x14ac:dyDescent="0.25">
      <c r="A26" s="4" t="s">
        <v>38</v>
      </c>
      <c r="B26" s="16">
        <f>'Limpopo-Olifants CMA'!B40</f>
        <v>1</v>
      </c>
      <c r="C26" s="16">
        <f>'Limpopo-Olifants CMA'!C40</f>
        <v>1</v>
      </c>
      <c r="D26" s="16">
        <f>'Limpopo-Olifants CMA'!D40</f>
        <v>1</v>
      </c>
      <c r="E26" s="16">
        <f>'Limpopo-Olifants CMA'!E40</f>
        <v>1</v>
      </c>
      <c r="F26" s="16">
        <f>'Limpopo-Olifants CMA'!F40</f>
        <v>1</v>
      </c>
      <c r="G26" s="16">
        <f>'Limpopo-Olifants CMA'!G40</f>
        <v>1</v>
      </c>
      <c r="H26" s="16">
        <f>'Limpopo-Olifants CMA'!H40</f>
        <v>1</v>
      </c>
      <c r="I26" s="16">
        <f>'Limpopo-Olifants CMA'!I40</f>
        <v>1</v>
      </c>
      <c r="J26" s="16">
        <f>'Limpopo-Olifants CMA'!J40</f>
        <v>1</v>
      </c>
      <c r="K26" s="16">
        <f>'Limpopo-Olifants CMA'!K40</f>
        <v>1</v>
      </c>
    </row>
    <row r="27" spans="1:12" x14ac:dyDescent="0.25">
      <c r="A27" s="4" t="s">
        <v>15</v>
      </c>
      <c r="B27" s="16">
        <f>'Limpopo-Olifants CMA'!B41</f>
        <v>1</v>
      </c>
      <c r="C27" s="16">
        <f>'Limpopo-Olifants CMA'!C41</f>
        <v>1</v>
      </c>
      <c r="D27" s="16">
        <f>'Limpopo-Olifants CMA'!D41</f>
        <v>1</v>
      </c>
      <c r="E27" s="16">
        <f>'Limpopo-Olifants CMA'!E41</f>
        <v>1</v>
      </c>
      <c r="F27" s="16">
        <f>'Limpopo-Olifants CMA'!F41</f>
        <v>1</v>
      </c>
      <c r="G27" s="16">
        <f>'Limpopo-Olifants CMA'!G41</f>
        <v>1</v>
      </c>
      <c r="H27" s="16">
        <f>'Limpopo-Olifants CMA'!H41</f>
        <v>1</v>
      </c>
      <c r="I27" s="16">
        <f>'Limpopo-Olifants CMA'!I41</f>
        <v>1</v>
      </c>
      <c r="J27" s="16">
        <f>'Limpopo-Olifants CMA'!J41</f>
        <v>1</v>
      </c>
      <c r="K27" s="16">
        <f>'Limpopo-Olifants CMA'!K41</f>
        <v>1</v>
      </c>
    </row>
    <row r="28" spans="1:12" x14ac:dyDescent="0.25">
      <c r="C28" s="6"/>
      <c r="D28" s="6"/>
      <c r="E28" s="6"/>
      <c r="F28" s="6"/>
      <c r="G28" s="6"/>
      <c r="H28" s="6"/>
      <c r="I28" s="6"/>
      <c r="J28" s="6"/>
      <c r="K28" s="6"/>
    </row>
    <row r="29" spans="1:12" x14ac:dyDescent="0.25">
      <c r="A29" s="1" t="s">
        <v>60</v>
      </c>
      <c r="B29" s="12" t="str">
        <f>'Summary dashboard'!C4</f>
        <v>2023</v>
      </c>
      <c r="C29" s="12">
        <f t="shared" ref="C29:K29" si="2">B29+1</f>
        <v>2024</v>
      </c>
      <c r="D29" s="12">
        <f t="shared" si="2"/>
        <v>2025</v>
      </c>
      <c r="E29" s="12">
        <f t="shared" si="2"/>
        <v>2026</v>
      </c>
      <c r="F29" s="12">
        <f t="shared" si="2"/>
        <v>2027</v>
      </c>
      <c r="G29" s="12">
        <f t="shared" si="2"/>
        <v>2028</v>
      </c>
      <c r="H29" s="12">
        <f t="shared" si="2"/>
        <v>2029</v>
      </c>
      <c r="I29" s="12">
        <f t="shared" si="2"/>
        <v>2030</v>
      </c>
      <c r="J29" s="12">
        <f t="shared" si="2"/>
        <v>2031</v>
      </c>
      <c r="K29" s="12">
        <f t="shared" si="2"/>
        <v>2032</v>
      </c>
      <c r="L29" s="1" t="s">
        <v>28</v>
      </c>
    </row>
    <row r="30" spans="1:12" x14ac:dyDescent="0.25">
      <c r="A30" s="4" t="s">
        <v>35</v>
      </c>
      <c r="B30" s="32">
        <f t="shared" ref="B30:K30" si="3">$B3*B17</f>
        <v>4985529.0415000003</v>
      </c>
      <c r="C30" s="32">
        <f t="shared" si="3"/>
        <v>4985529.0415000003</v>
      </c>
      <c r="D30" s="32">
        <f t="shared" si="3"/>
        <v>4985529.0415000003</v>
      </c>
      <c r="E30" s="32">
        <f t="shared" si="3"/>
        <v>4985529.0415000003</v>
      </c>
      <c r="F30" s="32">
        <f t="shared" si="3"/>
        <v>4985529.0415000003</v>
      </c>
      <c r="G30" s="32">
        <f t="shared" si="3"/>
        <v>4985529.0415000003</v>
      </c>
      <c r="H30" s="32">
        <f t="shared" si="3"/>
        <v>4985529.0415000003</v>
      </c>
      <c r="I30" s="32">
        <f t="shared" si="3"/>
        <v>4985529.0415000003</v>
      </c>
      <c r="J30" s="32">
        <f t="shared" si="3"/>
        <v>4985529.0415000003</v>
      </c>
      <c r="K30" s="32">
        <f t="shared" si="3"/>
        <v>4985529.0415000003</v>
      </c>
      <c r="L30" s="5">
        <f t="shared" ref="L30:L41" si="4">AVERAGE(B30:K30)</f>
        <v>4985529.0415000012</v>
      </c>
    </row>
    <row r="31" spans="1:12" x14ac:dyDescent="0.25">
      <c r="A31" s="4" t="s">
        <v>36</v>
      </c>
      <c r="B31" s="32">
        <f t="shared" ref="B31:K31" si="5">$B4*B18</f>
        <v>3607098.0599999996</v>
      </c>
      <c r="C31" s="32">
        <f t="shared" si="5"/>
        <v>3607098.0599999996</v>
      </c>
      <c r="D31" s="32">
        <f t="shared" si="5"/>
        <v>3607098.0599999996</v>
      </c>
      <c r="E31" s="32">
        <f t="shared" si="5"/>
        <v>3607098.0599999996</v>
      </c>
      <c r="F31" s="32">
        <f t="shared" si="5"/>
        <v>3607098.0599999996</v>
      </c>
      <c r="G31" s="32">
        <f t="shared" si="5"/>
        <v>3607098.0599999996</v>
      </c>
      <c r="H31" s="32">
        <f t="shared" si="5"/>
        <v>3607098.0599999996</v>
      </c>
      <c r="I31" s="32">
        <f t="shared" si="5"/>
        <v>3607098.0599999996</v>
      </c>
      <c r="J31" s="32">
        <f t="shared" si="5"/>
        <v>3607098.0599999996</v>
      </c>
      <c r="K31" s="32">
        <f t="shared" si="5"/>
        <v>3607098.0599999996</v>
      </c>
      <c r="L31" s="5">
        <f t="shared" si="4"/>
        <v>3607098.0599999996</v>
      </c>
    </row>
    <row r="32" spans="1:12" x14ac:dyDescent="0.25">
      <c r="A32" s="4" t="s">
        <v>11</v>
      </c>
      <c r="B32" s="32">
        <f t="shared" ref="B32:K32" si="6">$B5*B19</f>
        <v>0</v>
      </c>
      <c r="C32" s="32">
        <f t="shared" si="6"/>
        <v>0</v>
      </c>
      <c r="D32" s="32">
        <f t="shared" si="6"/>
        <v>0</v>
      </c>
      <c r="E32" s="32">
        <f t="shared" si="6"/>
        <v>0</v>
      </c>
      <c r="F32" s="32">
        <f t="shared" si="6"/>
        <v>0</v>
      </c>
      <c r="G32" s="32">
        <f t="shared" si="6"/>
        <v>0</v>
      </c>
      <c r="H32" s="32">
        <f t="shared" si="6"/>
        <v>0</v>
      </c>
      <c r="I32" s="32">
        <f t="shared" si="6"/>
        <v>0</v>
      </c>
      <c r="J32" s="32">
        <f t="shared" si="6"/>
        <v>0</v>
      </c>
      <c r="K32" s="32">
        <f t="shared" si="6"/>
        <v>0</v>
      </c>
      <c r="L32" s="5">
        <f t="shared" si="4"/>
        <v>0</v>
      </c>
    </row>
    <row r="33" spans="1:13" x14ac:dyDescent="0.25">
      <c r="A33" s="4" t="s">
        <v>124</v>
      </c>
      <c r="B33" s="32">
        <f t="shared" ref="B33:K33" si="7">$B6*B20</f>
        <v>500000</v>
      </c>
      <c r="C33" s="32">
        <f t="shared" si="7"/>
        <v>500000</v>
      </c>
      <c r="D33" s="32">
        <f t="shared" si="7"/>
        <v>500000</v>
      </c>
      <c r="E33" s="32">
        <f t="shared" si="7"/>
        <v>500000</v>
      </c>
      <c r="F33" s="32">
        <f t="shared" si="7"/>
        <v>500000</v>
      </c>
      <c r="G33" s="32">
        <f t="shared" si="7"/>
        <v>500000</v>
      </c>
      <c r="H33" s="32">
        <f t="shared" si="7"/>
        <v>500000</v>
      </c>
      <c r="I33" s="32">
        <f t="shared" si="7"/>
        <v>500000</v>
      </c>
      <c r="J33" s="32">
        <f t="shared" si="7"/>
        <v>500000</v>
      </c>
      <c r="K33" s="32">
        <f t="shared" si="7"/>
        <v>500000</v>
      </c>
      <c r="L33" s="5">
        <f t="shared" si="4"/>
        <v>500000</v>
      </c>
    </row>
    <row r="34" spans="1:13" x14ac:dyDescent="0.25">
      <c r="A34" s="4" t="s">
        <v>12</v>
      </c>
      <c r="B34" s="32">
        <f t="shared" ref="B34:K34" si="8">$B7*B21</f>
        <v>23007240.546666663</v>
      </c>
      <c r="C34" s="32">
        <f t="shared" si="8"/>
        <v>23007240.546666663</v>
      </c>
      <c r="D34" s="32">
        <f t="shared" si="8"/>
        <v>23007240.546666663</v>
      </c>
      <c r="E34" s="32">
        <f t="shared" si="8"/>
        <v>23007240.546666663</v>
      </c>
      <c r="F34" s="32">
        <f t="shared" si="8"/>
        <v>23007240.546666663</v>
      </c>
      <c r="G34" s="32">
        <f t="shared" si="8"/>
        <v>23007240.546666663</v>
      </c>
      <c r="H34" s="32">
        <f t="shared" si="8"/>
        <v>23007240.546666663</v>
      </c>
      <c r="I34" s="32">
        <f t="shared" si="8"/>
        <v>23007240.546666663</v>
      </c>
      <c r="J34" s="32">
        <f t="shared" si="8"/>
        <v>23007240.546666663</v>
      </c>
      <c r="K34" s="32">
        <f t="shared" si="8"/>
        <v>23007240.546666663</v>
      </c>
      <c r="L34" s="5">
        <f t="shared" si="4"/>
        <v>23007240.546666659</v>
      </c>
    </row>
    <row r="35" spans="1:13" x14ac:dyDescent="0.25">
      <c r="A35" s="4" t="s">
        <v>13</v>
      </c>
      <c r="B35" s="32">
        <f t="shared" ref="B35:K35" si="9">$B8*B22</f>
        <v>0</v>
      </c>
      <c r="C35" s="32">
        <f t="shared" si="9"/>
        <v>0</v>
      </c>
      <c r="D35" s="32">
        <f t="shared" si="9"/>
        <v>0</v>
      </c>
      <c r="E35" s="32">
        <f t="shared" si="9"/>
        <v>0</v>
      </c>
      <c r="F35" s="32">
        <f t="shared" si="9"/>
        <v>0</v>
      </c>
      <c r="G35" s="32">
        <f t="shared" si="9"/>
        <v>0</v>
      </c>
      <c r="H35" s="32">
        <f t="shared" si="9"/>
        <v>0</v>
      </c>
      <c r="I35" s="32">
        <f t="shared" si="9"/>
        <v>0</v>
      </c>
      <c r="J35" s="32">
        <f t="shared" si="9"/>
        <v>0</v>
      </c>
      <c r="K35" s="32">
        <f t="shared" si="9"/>
        <v>0</v>
      </c>
      <c r="L35" s="5">
        <f t="shared" si="4"/>
        <v>0</v>
      </c>
    </row>
    <row r="36" spans="1:13" x14ac:dyDescent="0.25">
      <c r="A36" s="4" t="s">
        <v>14</v>
      </c>
      <c r="B36" s="32">
        <f t="shared" ref="B36:K36" si="10">$B9*B23</f>
        <v>0</v>
      </c>
      <c r="C36" s="32">
        <f t="shared" si="10"/>
        <v>0</v>
      </c>
      <c r="D36" s="32">
        <f t="shared" si="10"/>
        <v>0</v>
      </c>
      <c r="E36" s="32">
        <f t="shared" si="10"/>
        <v>0</v>
      </c>
      <c r="F36" s="32">
        <f t="shared" si="10"/>
        <v>0</v>
      </c>
      <c r="G36" s="32">
        <f t="shared" si="10"/>
        <v>0</v>
      </c>
      <c r="H36" s="32">
        <f t="shared" si="10"/>
        <v>0</v>
      </c>
      <c r="I36" s="32">
        <f t="shared" si="10"/>
        <v>0</v>
      </c>
      <c r="J36" s="32">
        <f t="shared" si="10"/>
        <v>0</v>
      </c>
      <c r="K36" s="32">
        <f t="shared" si="10"/>
        <v>0</v>
      </c>
      <c r="L36" s="5">
        <f t="shared" si="4"/>
        <v>0</v>
      </c>
    </row>
    <row r="37" spans="1:13" x14ac:dyDescent="0.25">
      <c r="A37" s="4" t="s">
        <v>125</v>
      </c>
      <c r="B37" s="32">
        <f t="shared" ref="B37:K37" si="11">$B10*B24</f>
        <v>0</v>
      </c>
      <c r="C37" s="32">
        <f t="shared" si="11"/>
        <v>0</v>
      </c>
      <c r="D37" s="32">
        <f t="shared" si="11"/>
        <v>0</v>
      </c>
      <c r="E37" s="32">
        <f t="shared" si="11"/>
        <v>0</v>
      </c>
      <c r="F37" s="32">
        <f t="shared" si="11"/>
        <v>0</v>
      </c>
      <c r="G37" s="32">
        <f t="shared" si="11"/>
        <v>0</v>
      </c>
      <c r="H37" s="32">
        <f t="shared" si="11"/>
        <v>0</v>
      </c>
      <c r="I37" s="32">
        <f t="shared" si="11"/>
        <v>0</v>
      </c>
      <c r="J37" s="32">
        <f t="shared" si="11"/>
        <v>0</v>
      </c>
      <c r="K37" s="32">
        <f t="shared" si="11"/>
        <v>0</v>
      </c>
      <c r="L37" s="5">
        <f t="shared" si="4"/>
        <v>0</v>
      </c>
    </row>
    <row r="38" spans="1:13" x14ac:dyDescent="0.25">
      <c r="A38" s="4" t="s">
        <v>37</v>
      </c>
      <c r="B38" s="32">
        <f t="shared" ref="B38:K38" si="12">$B11*B25</f>
        <v>33951202.913499996</v>
      </c>
      <c r="C38" s="32">
        <f t="shared" si="12"/>
        <v>33951202.913499996</v>
      </c>
      <c r="D38" s="32">
        <f t="shared" si="12"/>
        <v>33951202.913499996</v>
      </c>
      <c r="E38" s="32">
        <f t="shared" si="12"/>
        <v>33951202.913499996</v>
      </c>
      <c r="F38" s="32">
        <f t="shared" si="12"/>
        <v>33951202.913499996</v>
      </c>
      <c r="G38" s="32">
        <f t="shared" si="12"/>
        <v>33951202.913499996</v>
      </c>
      <c r="H38" s="32">
        <f t="shared" si="12"/>
        <v>33951202.913499996</v>
      </c>
      <c r="I38" s="32">
        <f t="shared" si="12"/>
        <v>33951202.913499996</v>
      </c>
      <c r="J38" s="32">
        <f t="shared" si="12"/>
        <v>33951202.913499996</v>
      </c>
      <c r="K38" s="32">
        <f t="shared" si="12"/>
        <v>33951202.913499996</v>
      </c>
      <c r="L38" s="5">
        <f t="shared" si="4"/>
        <v>33951202.913500004</v>
      </c>
    </row>
    <row r="39" spans="1:13" x14ac:dyDescent="0.25">
      <c r="A39" s="4" t="s">
        <v>38</v>
      </c>
      <c r="B39" s="32">
        <f t="shared" ref="B39:K39" si="13">$B12*B26</f>
        <v>3370753.2299999995</v>
      </c>
      <c r="C39" s="32">
        <f t="shared" si="13"/>
        <v>3370753.2299999995</v>
      </c>
      <c r="D39" s="32">
        <f t="shared" si="13"/>
        <v>3370753.2299999995</v>
      </c>
      <c r="E39" s="32">
        <f t="shared" si="13"/>
        <v>3370753.2299999995</v>
      </c>
      <c r="F39" s="32">
        <f t="shared" si="13"/>
        <v>3370753.2299999995</v>
      </c>
      <c r="G39" s="32">
        <f t="shared" si="13"/>
        <v>3370753.2299999995</v>
      </c>
      <c r="H39" s="32">
        <f t="shared" si="13"/>
        <v>3370753.2299999995</v>
      </c>
      <c r="I39" s="32">
        <f t="shared" si="13"/>
        <v>3370753.2299999995</v>
      </c>
      <c r="J39" s="32">
        <f t="shared" si="13"/>
        <v>3370753.2299999995</v>
      </c>
      <c r="K39" s="32">
        <f t="shared" si="13"/>
        <v>3370753.2299999995</v>
      </c>
      <c r="L39" s="5">
        <f t="shared" si="4"/>
        <v>3370753.2299999995</v>
      </c>
    </row>
    <row r="40" spans="1:13" x14ac:dyDescent="0.25">
      <c r="A40" s="4" t="s">
        <v>15</v>
      </c>
      <c r="B40" s="13">
        <f t="shared" ref="B40:K40" si="14">$B13*B27</f>
        <v>62407187.247000001</v>
      </c>
      <c r="C40" s="13">
        <f t="shared" si="14"/>
        <v>62407187.247000001</v>
      </c>
      <c r="D40" s="13">
        <f t="shared" si="14"/>
        <v>62407187.247000001</v>
      </c>
      <c r="E40" s="13">
        <f t="shared" si="14"/>
        <v>62407187.247000001</v>
      </c>
      <c r="F40" s="13">
        <f t="shared" si="14"/>
        <v>62407187.247000001</v>
      </c>
      <c r="G40" s="13">
        <f t="shared" si="14"/>
        <v>62407187.247000001</v>
      </c>
      <c r="H40" s="13">
        <f t="shared" si="14"/>
        <v>62407187.247000001</v>
      </c>
      <c r="I40" s="13">
        <f t="shared" si="14"/>
        <v>62407187.247000001</v>
      </c>
      <c r="J40" s="13">
        <f t="shared" si="14"/>
        <v>62407187.247000001</v>
      </c>
      <c r="K40" s="13">
        <f t="shared" si="14"/>
        <v>62407187.247000001</v>
      </c>
      <c r="L40" s="13">
        <f t="shared" si="4"/>
        <v>62407187.246999994</v>
      </c>
    </row>
    <row r="41" spans="1:13" x14ac:dyDescent="0.25">
      <c r="B41" s="5">
        <f t="shared" ref="B41:K41" si="15">SUM(B30:B40)</f>
        <v>131829011.03866667</v>
      </c>
      <c r="C41" s="5">
        <f t="shared" si="15"/>
        <v>131829011.03866667</v>
      </c>
      <c r="D41" s="5">
        <f t="shared" si="15"/>
        <v>131829011.03866667</v>
      </c>
      <c r="E41" s="5">
        <f t="shared" si="15"/>
        <v>131829011.03866667</v>
      </c>
      <c r="F41" s="5">
        <f t="shared" si="15"/>
        <v>131829011.03866667</v>
      </c>
      <c r="G41" s="5">
        <f t="shared" si="15"/>
        <v>131829011.03866667</v>
      </c>
      <c r="H41" s="5">
        <f t="shared" si="15"/>
        <v>131829011.03866667</v>
      </c>
      <c r="I41" s="5">
        <f t="shared" si="15"/>
        <v>131829011.03866667</v>
      </c>
      <c r="J41" s="5">
        <f t="shared" si="15"/>
        <v>131829011.03866667</v>
      </c>
      <c r="K41" s="5">
        <f t="shared" si="15"/>
        <v>131829011.03866667</v>
      </c>
      <c r="L41" s="5">
        <f t="shared" si="4"/>
        <v>131829011.0386667</v>
      </c>
      <c r="M41" s="62">
        <f>B41-SUM($B$3:$B$13)</f>
        <v>0</v>
      </c>
    </row>
    <row r="43" spans="1:13" x14ac:dyDescent="0.25">
      <c r="A43" s="59" t="s">
        <v>56</v>
      </c>
      <c r="L43" s="12" t="s">
        <v>28</v>
      </c>
    </row>
    <row r="44" spans="1:13" x14ac:dyDescent="0.25">
      <c r="A44" s="4" t="s">
        <v>35</v>
      </c>
      <c r="B44" s="14">
        <f>B30*B17*'Data inputs'!$B14</f>
        <v>3838857.3619550001</v>
      </c>
      <c r="C44" s="14">
        <f>C30*C17*'Data inputs'!$B14</f>
        <v>3838857.3619550001</v>
      </c>
      <c r="D44" s="14">
        <f>D30*D17*'Data inputs'!$B14</f>
        <v>3838857.3619550001</v>
      </c>
      <c r="E44" s="14">
        <f>E30*E17*'Data inputs'!$B14</f>
        <v>3838857.3619550001</v>
      </c>
      <c r="F44" s="14">
        <f>F30*F17*'Data inputs'!$B14</f>
        <v>3838857.3619550001</v>
      </c>
      <c r="G44" s="14">
        <f>G30*G17*'Data inputs'!$B14</f>
        <v>3838857.3619550001</v>
      </c>
      <c r="H44" s="14">
        <f>H30*H17*'Data inputs'!$B14</f>
        <v>3838857.3619550001</v>
      </c>
      <c r="I44" s="14">
        <f>I30*I17*'Data inputs'!$B14</f>
        <v>3838857.3619550001</v>
      </c>
      <c r="J44" s="14">
        <f>J30*J17*'Data inputs'!$B14</f>
        <v>3838857.3619550001</v>
      </c>
      <c r="K44" s="14">
        <f>K30*K17*'Data inputs'!$B14</f>
        <v>3838857.3619550001</v>
      </c>
      <c r="L44" s="5">
        <f t="shared" ref="L44:L55" si="16">AVERAGE(B44:K44)</f>
        <v>3838857.361955001</v>
      </c>
    </row>
    <row r="45" spans="1:13" x14ac:dyDescent="0.25">
      <c r="A45" s="4" t="s">
        <v>36</v>
      </c>
      <c r="B45" s="14">
        <f>B31*B18*'Data inputs'!$B15</f>
        <v>1082129.4180000001</v>
      </c>
      <c r="C45" s="14">
        <f>C31*C18*'Data inputs'!$B15</f>
        <v>1082129.4180000001</v>
      </c>
      <c r="D45" s="14">
        <f>D31*D18*'Data inputs'!$B15</f>
        <v>1082129.4180000001</v>
      </c>
      <c r="E45" s="14">
        <f>E31*E18*'Data inputs'!$B15</f>
        <v>1082129.4180000001</v>
      </c>
      <c r="F45" s="14">
        <f>F31*F18*'Data inputs'!$B15</f>
        <v>1082129.4180000001</v>
      </c>
      <c r="G45" s="14">
        <f>G31*G18*'Data inputs'!$B15</f>
        <v>1082129.4180000001</v>
      </c>
      <c r="H45" s="14">
        <f>H31*H18*'Data inputs'!$B15</f>
        <v>1082129.4180000001</v>
      </c>
      <c r="I45" s="14">
        <f>I31*I18*'Data inputs'!$B15</f>
        <v>1082129.4180000001</v>
      </c>
      <c r="J45" s="14">
        <f>J31*J18*'Data inputs'!$B15</f>
        <v>1082129.4180000001</v>
      </c>
      <c r="K45" s="14">
        <f>K31*K18*'Data inputs'!$B15</f>
        <v>1082129.4180000001</v>
      </c>
      <c r="L45" s="5">
        <f t="shared" si="16"/>
        <v>1082129.4179999998</v>
      </c>
    </row>
    <row r="46" spans="1:13" x14ac:dyDescent="0.25">
      <c r="A46" s="4" t="s">
        <v>11</v>
      </c>
      <c r="B46" s="14">
        <f>B32*B19*'Data inputs'!$B16</f>
        <v>0</v>
      </c>
      <c r="C46" s="14">
        <f>C32*C19*'Data inputs'!$B16</f>
        <v>0</v>
      </c>
      <c r="D46" s="14">
        <f>D32*D19*'Data inputs'!$B16</f>
        <v>0</v>
      </c>
      <c r="E46" s="14">
        <f>E32*E19*'Data inputs'!$B16</f>
        <v>0</v>
      </c>
      <c r="F46" s="14">
        <f>F32*F19*'Data inputs'!$B16</f>
        <v>0</v>
      </c>
      <c r="G46" s="14">
        <f>G32*G19*'Data inputs'!$B16</f>
        <v>0</v>
      </c>
      <c r="H46" s="14">
        <f>H32*H19*'Data inputs'!$B16</f>
        <v>0</v>
      </c>
      <c r="I46" s="14">
        <f>I32*I19*'Data inputs'!$B16</f>
        <v>0</v>
      </c>
      <c r="J46" s="14">
        <f>J32*J19*'Data inputs'!$B16</f>
        <v>0</v>
      </c>
      <c r="K46" s="14">
        <f>K32*K19*'Data inputs'!$B16</f>
        <v>0</v>
      </c>
      <c r="L46" s="5">
        <f t="shared" si="16"/>
        <v>0</v>
      </c>
    </row>
    <row r="47" spans="1:13" x14ac:dyDescent="0.25">
      <c r="A47" s="4" t="s">
        <v>124</v>
      </c>
      <c r="B47" s="14">
        <f>B33*B20*'Data inputs'!$B17</f>
        <v>399999.99999999994</v>
      </c>
      <c r="C47" s="14">
        <f>C33*C20*'Data inputs'!$B17</f>
        <v>399999.99999999994</v>
      </c>
      <c r="D47" s="14">
        <f>D33*D20*'Data inputs'!$B17</f>
        <v>399999.99999999994</v>
      </c>
      <c r="E47" s="14">
        <f>E33*E20*'Data inputs'!$B17</f>
        <v>399999.99999999994</v>
      </c>
      <c r="F47" s="14">
        <f>F33*F20*'Data inputs'!$B17</f>
        <v>399999.99999999994</v>
      </c>
      <c r="G47" s="14">
        <f>G33*G20*'Data inputs'!$B17</f>
        <v>399999.99999999994</v>
      </c>
      <c r="H47" s="14">
        <f>H33*H20*'Data inputs'!$B17</f>
        <v>399999.99999999994</v>
      </c>
      <c r="I47" s="14">
        <f>I33*I20*'Data inputs'!$B17</f>
        <v>399999.99999999994</v>
      </c>
      <c r="J47" s="14">
        <f>J33*J20*'Data inputs'!$B17</f>
        <v>399999.99999999994</v>
      </c>
      <c r="K47" s="14">
        <f>K33*K20*'Data inputs'!$B17</f>
        <v>399999.99999999994</v>
      </c>
      <c r="L47" s="5">
        <f t="shared" si="16"/>
        <v>399999.99999999994</v>
      </c>
    </row>
    <row r="48" spans="1:13" x14ac:dyDescent="0.25">
      <c r="A48" s="4" t="s">
        <v>12</v>
      </c>
      <c r="B48" s="14">
        <f>B34*B21*'Data inputs'!$B18</f>
        <v>2300724.0546666663</v>
      </c>
      <c r="C48" s="14">
        <f>C34*C21*'Data inputs'!$B18</f>
        <v>2300724.0546666663</v>
      </c>
      <c r="D48" s="14">
        <f>D34*D21*'Data inputs'!$B18</f>
        <v>2300724.0546666663</v>
      </c>
      <c r="E48" s="14">
        <f>E34*E21*'Data inputs'!$B18</f>
        <v>2300724.0546666663</v>
      </c>
      <c r="F48" s="14">
        <f>F34*F21*'Data inputs'!$B18</f>
        <v>2300724.0546666663</v>
      </c>
      <c r="G48" s="14">
        <f>G34*G21*'Data inputs'!$B18</f>
        <v>2300724.0546666663</v>
      </c>
      <c r="H48" s="14">
        <f>H34*H21*'Data inputs'!$B18</f>
        <v>2300724.0546666663</v>
      </c>
      <c r="I48" s="14">
        <f>I34*I21*'Data inputs'!$B18</f>
        <v>2300724.0546666663</v>
      </c>
      <c r="J48" s="14">
        <f>J34*J21*'Data inputs'!$B18</f>
        <v>2300724.0546666663</v>
      </c>
      <c r="K48" s="14">
        <f>K34*K21*'Data inputs'!$B18</f>
        <v>2300724.0546666663</v>
      </c>
      <c r="L48" s="5">
        <f t="shared" si="16"/>
        <v>2300724.0546666668</v>
      </c>
    </row>
    <row r="49" spans="1:12" x14ac:dyDescent="0.25">
      <c r="A49" s="4" t="s">
        <v>13</v>
      </c>
      <c r="B49" s="14">
        <f>B35*B22*'Data inputs'!$B19</f>
        <v>0</v>
      </c>
      <c r="C49" s="14">
        <f>C35*C22*'Data inputs'!$B19</f>
        <v>0</v>
      </c>
      <c r="D49" s="14">
        <f>D35*D22*'Data inputs'!$B19</f>
        <v>0</v>
      </c>
      <c r="E49" s="14">
        <f>E35*E22*'Data inputs'!$B19</f>
        <v>0</v>
      </c>
      <c r="F49" s="14">
        <f>F35*F22*'Data inputs'!$B19</f>
        <v>0</v>
      </c>
      <c r="G49" s="14">
        <f>G35*G22*'Data inputs'!$B19</f>
        <v>0</v>
      </c>
      <c r="H49" s="14">
        <f>H35*H22*'Data inputs'!$B19</f>
        <v>0</v>
      </c>
      <c r="I49" s="14">
        <f>I35*I22*'Data inputs'!$B19</f>
        <v>0</v>
      </c>
      <c r="J49" s="14">
        <f>J35*J22*'Data inputs'!$B19</f>
        <v>0</v>
      </c>
      <c r="K49" s="14">
        <f>K35*K22*'Data inputs'!$B19</f>
        <v>0</v>
      </c>
      <c r="L49" s="5">
        <f t="shared" si="16"/>
        <v>0</v>
      </c>
    </row>
    <row r="50" spans="1:12" x14ac:dyDescent="0.25">
      <c r="A50" s="4" t="s">
        <v>14</v>
      </c>
      <c r="B50" s="14">
        <f>B36*B23*'Data inputs'!$B20</f>
        <v>0</v>
      </c>
      <c r="C50" s="14">
        <f>C36*C23*'Data inputs'!$B20</f>
        <v>0</v>
      </c>
      <c r="D50" s="14">
        <f>D36*D23*'Data inputs'!$B20</f>
        <v>0</v>
      </c>
      <c r="E50" s="14">
        <f>E36*E23*'Data inputs'!$B20</f>
        <v>0</v>
      </c>
      <c r="F50" s="14">
        <f>F36*F23*'Data inputs'!$B20</f>
        <v>0</v>
      </c>
      <c r="G50" s="14">
        <f>G36*G23*'Data inputs'!$B20</f>
        <v>0</v>
      </c>
      <c r="H50" s="14">
        <f>H36*H23*'Data inputs'!$B20</f>
        <v>0</v>
      </c>
      <c r="I50" s="14">
        <f>I36*I23*'Data inputs'!$B20</f>
        <v>0</v>
      </c>
      <c r="J50" s="14">
        <f>J36*J23*'Data inputs'!$B20</f>
        <v>0</v>
      </c>
      <c r="K50" s="14">
        <f>K36*K23*'Data inputs'!$B20</f>
        <v>0</v>
      </c>
      <c r="L50" s="5">
        <f t="shared" si="16"/>
        <v>0</v>
      </c>
    </row>
    <row r="51" spans="1:12" x14ac:dyDescent="0.25">
      <c r="A51" s="4" t="s">
        <v>125</v>
      </c>
      <c r="B51" s="14">
        <f>B37*B24*'Data inputs'!$B21</f>
        <v>0</v>
      </c>
      <c r="C51" s="14">
        <f>C37*C24*'Data inputs'!$B21</f>
        <v>0</v>
      </c>
      <c r="D51" s="14">
        <f>D37*D24*'Data inputs'!$B21</f>
        <v>0</v>
      </c>
      <c r="E51" s="14">
        <f>E37*E24*'Data inputs'!$B21</f>
        <v>0</v>
      </c>
      <c r="F51" s="14">
        <f>F37*F24*'Data inputs'!$B21</f>
        <v>0</v>
      </c>
      <c r="G51" s="14">
        <f>G37*G24*'Data inputs'!$B21</f>
        <v>0</v>
      </c>
      <c r="H51" s="14">
        <f>H37*H24*'Data inputs'!$B21</f>
        <v>0</v>
      </c>
      <c r="I51" s="14">
        <f>I37*I24*'Data inputs'!$B21</f>
        <v>0</v>
      </c>
      <c r="J51" s="14">
        <f>J37*J24*'Data inputs'!$B21</f>
        <v>0</v>
      </c>
      <c r="K51" s="14">
        <f>K37*K24*'Data inputs'!$B21</f>
        <v>0</v>
      </c>
      <c r="L51" s="5">
        <f t="shared" si="16"/>
        <v>0</v>
      </c>
    </row>
    <row r="52" spans="1:12" x14ac:dyDescent="0.25">
      <c r="A52" s="4" t="s">
        <v>37</v>
      </c>
      <c r="B52" s="14">
        <f>B38*B25*'Data inputs'!$B22</f>
        <v>21389257.835504998</v>
      </c>
      <c r="C52" s="14">
        <f>C38*C25*'Data inputs'!$B22</f>
        <v>21389257.835504998</v>
      </c>
      <c r="D52" s="14">
        <f>D38*D25*'Data inputs'!$B22</f>
        <v>21389257.835504998</v>
      </c>
      <c r="E52" s="14">
        <f>E38*E25*'Data inputs'!$B22</f>
        <v>21389257.835504998</v>
      </c>
      <c r="F52" s="14">
        <f>F38*F25*'Data inputs'!$B22</f>
        <v>21389257.835504998</v>
      </c>
      <c r="G52" s="14">
        <f>G38*G25*'Data inputs'!$B22</f>
        <v>21389257.835504998</v>
      </c>
      <c r="H52" s="14">
        <f>H38*H25*'Data inputs'!$B22</f>
        <v>21389257.835504998</v>
      </c>
      <c r="I52" s="14">
        <f>I38*I25*'Data inputs'!$B22</f>
        <v>21389257.835504998</v>
      </c>
      <c r="J52" s="14">
        <f>J38*J25*'Data inputs'!$B22</f>
        <v>21389257.835504998</v>
      </c>
      <c r="K52" s="14">
        <f>K38*K25*'Data inputs'!$B22</f>
        <v>21389257.835504998</v>
      </c>
      <c r="L52" s="5">
        <f t="shared" si="16"/>
        <v>21389257.835505001</v>
      </c>
    </row>
    <row r="53" spans="1:12" x14ac:dyDescent="0.25">
      <c r="A53" s="4" t="s">
        <v>38</v>
      </c>
      <c r="B53" s="14">
        <f>B39*B26*'Data inputs'!$B23</f>
        <v>337075.32299999997</v>
      </c>
      <c r="C53" s="14">
        <f>C39*C26*'Data inputs'!$B23</f>
        <v>337075.32299999997</v>
      </c>
      <c r="D53" s="14">
        <f>D39*D26*'Data inputs'!$B23</f>
        <v>337075.32299999997</v>
      </c>
      <c r="E53" s="14">
        <f>E39*E26*'Data inputs'!$B23</f>
        <v>337075.32299999997</v>
      </c>
      <c r="F53" s="14">
        <f>F39*F26*'Data inputs'!$B23</f>
        <v>337075.32299999997</v>
      </c>
      <c r="G53" s="14">
        <f>G39*G26*'Data inputs'!$B23</f>
        <v>337075.32299999997</v>
      </c>
      <c r="H53" s="14">
        <f>H39*H26*'Data inputs'!$B23</f>
        <v>337075.32299999997</v>
      </c>
      <c r="I53" s="14">
        <f>I39*I26*'Data inputs'!$B23</f>
        <v>337075.32299999997</v>
      </c>
      <c r="J53" s="14">
        <f>J39*J26*'Data inputs'!$B23</f>
        <v>337075.32299999997</v>
      </c>
      <c r="K53" s="14">
        <f>K39*K26*'Data inputs'!$B23</f>
        <v>337075.32299999997</v>
      </c>
      <c r="L53" s="5">
        <f t="shared" si="16"/>
        <v>337075.32299999992</v>
      </c>
    </row>
    <row r="54" spans="1:12" x14ac:dyDescent="0.25">
      <c r="A54" s="4" t="s">
        <v>15</v>
      </c>
      <c r="B54" s="60">
        <f>B40*B27*'Data inputs'!$B24</f>
        <v>24962874.898800001</v>
      </c>
      <c r="C54" s="60">
        <f>C40*C27*'Data inputs'!$B24</f>
        <v>24962874.898800001</v>
      </c>
      <c r="D54" s="60">
        <f>D40*D27*'Data inputs'!$B24</f>
        <v>24962874.898800001</v>
      </c>
      <c r="E54" s="60">
        <f>E40*E27*'Data inputs'!$B24</f>
        <v>24962874.898800001</v>
      </c>
      <c r="F54" s="60">
        <f>F40*F27*'Data inputs'!$B24</f>
        <v>24962874.898800001</v>
      </c>
      <c r="G54" s="60">
        <f>G40*G27*'Data inputs'!$B24</f>
        <v>24962874.898800001</v>
      </c>
      <c r="H54" s="60">
        <f>H40*H27*'Data inputs'!$B24</f>
        <v>24962874.898800001</v>
      </c>
      <c r="I54" s="60">
        <f>I40*I27*'Data inputs'!$B24</f>
        <v>24962874.898800001</v>
      </c>
      <c r="J54" s="60">
        <f>J40*J27*'Data inputs'!$B24</f>
        <v>24962874.898800001</v>
      </c>
      <c r="K54" s="60">
        <f>K40*K27*'Data inputs'!$B24</f>
        <v>24962874.898800001</v>
      </c>
      <c r="L54" s="13">
        <f t="shared" si="16"/>
        <v>24962874.898800004</v>
      </c>
    </row>
    <row r="55" spans="1:12" x14ac:dyDescent="0.25">
      <c r="B55" s="14">
        <f>SUM(B44:B54)</f>
        <v>54310918.891926661</v>
      </c>
      <c r="C55" s="14">
        <f t="shared" ref="C55:K55" si="17">SUM(C44:C54)</f>
        <v>54310918.891926661</v>
      </c>
      <c r="D55" s="14">
        <f t="shared" si="17"/>
        <v>54310918.891926661</v>
      </c>
      <c r="E55" s="14">
        <f t="shared" si="17"/>
        <v>54310918.891926661</v>
      </c>
      <c r="F55" s="14">
        <f t="shared" si="17"/>
        <v>54310918.891926661</v>
      </c>
      <c r="G55" s="14">
        <f t="shared" si="17"/>
        <v>54310918.891926661</v>
      </c>
      <c r="H55" s="14">
        <f t="shared" si="17"/>
        <v>54310918.891926661</v>
      </c>
      <c r="I55" s="14">
        <f t="shared" si="17"/>
        <v>54310918.891926661</v>
      </c>
      <c r="J55" s="14">
        <f t="shared" si="17"/>
        <v>54310918.891926661</v>
      </c>
      <c r="K55" s="14">
        <f t="shared" si="17"/>
        <v>54310918.891926661</v>
      </c>
      <c r="L55" s="5">
        <f t="shared" si="16"/>
        <v>54310918.891926661</v>
      </c>
    </row>
    <row r="56" spans="1:12" x14ac:dyDescent="0.25">
      <c r="B56" s="16">
        <f>B55/B$41</f>
        <v>0.41198002218189111</v>
      </c>
      <c r="C56" s="16">
        <f t="shared" ref="C56:K56" si="18">C55/C$41</f>
        <v>0.41198002218189111</v>
      </c>
      <c r="D56" s="16">
        <f t="shared" si="18"/>
        <v>0.41198002218189111</v>
      </c>
      <c r="E56" s="16">
        <f t="shared" si="18"/>
        <v>0.41198002218189111</v>
      </c>
      <c r="F56" s="16">
        <f t="shared" si="18"/>
        <v>0.41198002218189111</v>
      </c>
      <c r="G56" s="16">
        <f t="shared" si="18"/>
        <v>0.41198002218189111</v>
      </c>
      <c r="H56" s="16">
        <f t="shared" si="18"/>
        <v>0.41198002218189111</v>
      </c>
      <c r="I56" s="16">
        <f t="shared" si="18"/>
        <v>0.41198002218189111</v>
      </c>
      <c r="J56" s="16">
        <f t="shared" si="18"/>
        <v>0.41198002218189111</v>
      </c>
      <c r="K56" s="16">
        <f t="shared" si="18"/>
        <v>0.41198002218189111</v>
      </c>
    </row>
    <row r="57" spans="1:12" x14ac:dyDescent="0.25">
      <c r="B57" s="16"/>
      <c r="C57" s="16"/>
      <c r="D57" s="16"/>
      <c r="E57" s="16"/>
      <c r="F57" s="16"/>
      <c r="G57" s="16"/>
      <c r="H57" s="16"/>
      <c r="I57" s="16"/>
      <c r="J57" s="16"/>
      <c r="K57" s="16"/>
    </row>
    <row r="58" spans="1:12" x14ac:dyDescent="0.25">
      <c r="A58" s="59" t="s">
        <v>57</v>
      </c>
      <c r="L58" s="12" t="s">
        <v>28</v>
      </c>
    </row>
    <row r="59" spans="1:12" x14ac:dyDescent="0.25">
      <c r="A59" s="4" t="s">
        <v>35</v>
      </c>
      <c r="B59" s="14">
        <f>B30*B17*'Data inputs'!$C14</f>
        <v>2841751.5536550004</v>
      </c>
      <c r="C59" s="14">
        <f>C30*C17*'Data inputs'!$C14</f>
        <v>2841751.5536550004</v>
      </c>
      <c r="D59" s="14">
        <f>D30*D17*'Data inputs'!$C14</f>
        <v>2841751.5536550004</v>
      </c>
      <c r="E59" s="14">
        <f>E30*E17*'Data inputs'!$C14</f>
        <v>2841751.5536550004</v>
      </c>
      <c r="F59" s="14">
        <f>F30*F17*'Data inputs'!$C14</f>
        <v>2841751.5536550004</v>
      </c>
      <c r="G59" s="14">
        <f>G30*G17*'Data inputs'!$C14</f>
        <v>2841751.5536550004</v>
      </c>
      <c r="H59" s="14">
        <f>H30*H17*'Data inputs'!$C14</f>
        <v>2841751.5536550004</v>
      </c>
      <c r="I59" s="14">
        <f>I30*I17*'Data inputs'!$C14</f>
        <v>2841751.5536550004</v>
      </c>
      <c r="J59" s="14">
        <f>J30*J17*'Data inputs'!$C14</f>
        <v>2841751.5536550004</v>
      </c>
      <c r="K59" s="14">
        <f>K30*K17*'Data inputs'!$C14</f>
        <v>2841751.5536550004</v>
      </c>
      <c r="L59" s="5">
        <f t="shared" ref="L59:L70" si="19">AVERAGE(B59:K59)</f>
        <v>2841751.5536549999</v>
      </c>
    </row>
    <row r="60" spans="1:12" x14ac:dyDescent="0.25">
      <c r="A60" s="4" t="s">
        <v>36</v>
      </c>
      <c r="B60" s="14">
        <f>B31*B18*'Data inputs'!$C15</f>
        <v>360709.80599999998</v>
      </c>
      <c r="C60" s="14">
        <f>C31*C18*'Data inputs'!$C15</f>
        <v>360709.80599999998</v>
      </c>
      <c r="D60" s="14">
        <f>D31*D18*'Data inputs'!$C15</f>
        <v>360709.80599999998</v>
      </c>
      <c r="E60" s="14">
        <f>E31*E18*'Data inputs'!$C15</f>
        <v>360709.80599999998</v>
      </c>
      <c r="F60" s="14">
        <f>F31*F18*'Data inputs'!$C15</f>
        <v>360709.80599999998</v>
      </c>
      <c r="G60" s="14">
        <f>G31*G18*'Data inputs'!$C15</f>
        <v>360709.80599999998</v>
      </c>
      <c r="H60" s="14">
        <f>H31*H18*'Data inputs'!$C15</f>
        <v>360709.80599999998</v>
      </c>
      <c r="I60" s="14">
        <f>I31*I18*'Data inputs'!$C15</f>
        <v>360709.80599999998</v>
      </c>
      <c r="J60" s="14">
        <f>J31*J18*'Data inputs'!$C15</f>
        <v>360709.80599999998</v>
      </c>
      <c r="K60" s="14">
        <f>K31*K18*'Data inputs'!$C15</f>
        <v>360709.80599999998</v>
      </c>
      <c r="L60" s="5">
        <f t="shared" si="19"/>
        <v>360709.80599999992</v>
      </c>
    </row>
    <row r="61" spans="1:12" x14ac:dyDescent="0.25">
      <c r="A61" s="4" t="s">
        <v>11</v>
      </c>
      <c r="B61" s="14">
        <f>B32*B19*'Data inputs'!$C16</f>
        <v>0</v>
      </c>
      <c r="C61" s="14">
        <f>C32*C19*'Data inputs'!$C16</f>
        <v>0</v>
      </c>
      <c r="D61" s="14">
        <f>D32*D19*'Data inputs'!$C16</f>
        <v>0</v>
      </c>
      <c r="E61" s="14">
        <f>E32*E19*'Data inputs'!$C16</f>
        <v>0</v>
      </c>
      <c r="F61" s="14">
        <f>F32*F19*'Data inputs'!$C16</f>
        <v>0</v>
      </c>
      <c r="G61" s="14">
        <f>G32*G19*'Data inputs'!$C16</f>
        <v>0</v>
      </c>
      <c r="H61" s="14">
        <f>H32*H19*'Data inputs'!$C16</f>
        <v>0</v>
      </c>
      <c r="I61" s="14">
        <f>I32*I19*'Data inputs'!$C16</f>
        <v>0</v>
      </c>
      <c r="J61" s="14">
        <f>J32*J19*'Data inputs'!$C16</f>
        <v>0</v>
      </c>
      <c r="K61" s="14">
        <f>K32*K19*'Data inputs'!$C16</f>
        <v>0</v>
      </c>
      <c r="L61" s="5">
        <f t="shared" si="19"/>
        <v>0</v>
      </c>
    </row>
    <row r="62" spans="1:12" x14ac:dyDescent="0.25">
      <c r="A62" s="4" t="s">
        <v>124</v>
      </c>
      <c r="B62" s="14">
        <f>B33*B20*'Data inputs'!$C17</f>
        <v>300000</v>
      </c>
      <c r="C62" s="14">
        <f>C33*C20*'Data inputs'!$C17</f>
        <v>300000</v>
      </c>
      <c r="D62" s="14">
        <f>D33*D20*'Data inputs'!$C17</f>
        <v>300000</v>
      </c>
      <c r="E62" s="14">
        <f>E33*E20*'Data inputs'!$C17</f>
        <v>300000</v>
      </c>
      <c r="F62" s="14">
        <f>F33*F20*'Data inputs'!$C17</f>
        <v>300000</v>
      </c>
      <c r="G62" s="14">
        <f>G33*G20*'Data inputs'!$C17</f>
        <v>300000</v>
      </c>
      <c r="H62" s="14">
        <f>H33*H20*'Data inputs'!$C17</f>
        <v>300000</v>
      </c>
      <c r="I62" s="14">
        <f>I33*I20*'Data inputs'!$C17</f>
        <v>300000</v>
      </c>
      <c r="J62" s="14">
        <f>J33*J20*'Data inputs'!$C17</f>
        <v>300000</v>
      </c>
      <c r="K62" s="14">
        <f>K33*K20*'Data inputs'!$C17</f>
        <v>300000</v>
      </c>
      <c r="L62" s="5">
        <f t="shared" si="19"/>
        <v>300000</v>
      </c>
    </row>
    <row r="63" spans="1:12" x14ac:dyDescent="0.25">
      <c r="A63" s="4" t="s">
        <v>12</v>
      </c>
      <c r="B63" s="14">
        <f>B34*B21*'Data inputs'!$C18</f>
        <v>0</v>
      </c>
      <c r="C63" s="14">
        <f>C34*C21*'Data inputs'!$C18</f>
        <v>0</v>
      </c>
      <c r="D63" s="14">
        <f>D34*D21*'Data inputs'!$C18</f>
        <v>0</v>
      </c>
      <c r="E63" s="14">
        <f>E34*E21*'Data inputs'!$C18</f>
        <v>0</v>
      </c>
      <c r="F63" s="14">
        <f>F34*F21*'Data inputs'!$C18</f>
        <v>0</v>
      </c>
      <c r="G63" s="14">
        <f>G34*G21*'Data inputs'!$C18</f>
        <v>0</v>
      </c>
      <c r="H63" s="14">
        <f>H34*H21*'Data inputs'!$C18</f>
        <v>0</v>
      </c>
      <c r="I63" s="14">
        <f>I34*I21*'Data inputs'!$C18</f>
        <v>0</v>
      </c>
      <c r="J63" s="14">
        <f>J34*J21*'Data inputs'!$C18</f>
        <v>0</v>
      </c>
      <c r="K63" s="14">
        <f>K34*K21*'Data inputs'!$C18</f>
        <v>0</v>
      </c>
      <c r="L63" s="5">
        <f t="shared" si="19"/>
        <v>0</v>
      </c>
    </row>
    <row r="64" spans="1:12" x14ac:dyDescent="0.25">
      <c r="A64" s="4" t="s">
        <v>13</v>
      </c>
      <c r="B64" s="14">
        <f>B35*B22*'Data inputs'!$C19</f>
        <v>0</v>
      </c>
      <c r="C64" s="14">
        <f>C35*C22*'Data inputs'!$C19</f>
        <v>0</v>
      </c>
      <c r="D64" s="14">
        <f>D35*D22*'Data inputs'!$C19</f>
        <v>0</v>
      </c>
      <c r="E64" s="14">
        <f>E35*E22*'Data inputs'!$C19</f>
        <v>0</v>
      </c>
      <c r="F64" s="14">
        <f>F35*F22*'Data inputs'!$C19</f>
        <v>0</v>
      </c>
      <c r="G64" s="14">
        <f>G35*G22*'Data inputs'!$C19</f>
        <v>0</v>
      </c>
      <c r="H64" s="14">
        <f>H35*H22*'Data inputs'!$C19</f>
        <v>0</v>
      </c>
      <c r="I64" s="14">
        <f>I35*I22*'Data inputs'!$C19</f>
        <v>0</v>
      </c>
      <c r="J64" s="14">
        <f>J35*J22*'Data inputs'!$C19</f>
        <v>0</v>
      </c>
      <c r="K64" s="14">
        <f>K35*K22*'Data inputs'!$C19</f>
        <v>0</v>
      </c>
      <c r="L64" s="5">
        <f t="shared" si="19"/>
        <v>0</v>
      </c>
    </row>
    <row r="65" spans="1:12" x14ac:dyDescent="0.25">
      <c r="A65" s="4" t="s">
        <v>14</v>
      </c>
      <c r="B65" s="14">
        <f>B36*B23*'Data inputs'!$C20</f>
        <v>0</v>
      </c>
      <c r="C65" s="14">
        <f>C36*C23*'Data inputs'!$C20</f>
        <v>0</v>
      </c>
      <c r="D65" s="14">
        <f>D36*D23*'Data inputs'!$C20</f>
        <v>0</v>
      </c>
      <c r="E65" s="14">
        <f>E36*E23*'Data inputs'!$C20</f>
        <v>0</v>
      </c>
      <c r="F65" s="14">
        <f>F36*F23*'Data inputs'!$C20</f>
        <v>0</v>
      </c>
      <c r="G65" s="14">
        <f>G36*G23*'Data inputs'!$C20</f>
        <v>0</v>
      </c>
      <c r="H65" s="14">
        <f>H36*H23*'Data inputs'!$C20</f>
        <v>0</v>
      </c>
      <c r="I65" s="14">
        <f>I36*I23*'Data inputs'!$C20</f>
        <v>0</v>
      </c>
      <c r="J65" s="14">
        <f>J36*J23*'Data inputs'!$C20</f>
        <v>0</v>
      </c>
      <c r="K65" s="14">
        <f>K36*K23*'Data inputs'!$C20</f>
        <v>0</v>
      </c>
      <c r="L65" s="5">
        <f t="shared" si="19"/>
        <v>0</v>
      </c>
    </row>
    <row r="66" spans="1:12" x14ac:dyDescent="0.25">
      <c r="A66" s="4" t="s">
        <v>125</v>
      </c>
      <c r="B66" s="14">
        <f>B37*B24*'Data inputs'!$C21</f>
        <v>0</v>
      </c>
      <c r="C66" s="14">
        <f>C37*C24*'Data inputs'!$C21</f>
        <v>0</v>
      </c>
      <c r="D66" s="14">
        <f>D37*D24*'Data inputs'!$C21</f>
        <v>0</v>
      </c>
      <c r="E66" s="14">
        <f>E37*E24*'Data inputs'!$C21</f>
        <v>0</v>
      </c>
      <c r="F66" s="14">
        <f>F37*F24*'Data inputs'!$C21</f>
        <v>0</v>
      </c>
      <c r="G66" s="14">
        <f>G37*G24*'Data inputs'!$C21</f>
        <v>0</v>
      </c>
      <c r="H66" s="14">
        <f>H37*H24*'Data inputs'!$C21</f>
        <v>0</v>
      </c>
      <c r="I66" s="14">
        <f>I37*I24*'Data inputs'!$C21</f>
        <v>0</v>
      </c>
      <c r="J66" s="14">
        <f>J37*J24*'Data inputs'!$C21</f>
        <v>0</v>
      </c>
      <c r="K66" s="14">
        <f>K37*K24*'Data inputs'!$C21</f>
        <v>0</v>
      </c>
      <c r="L66" s="5">
        <f t="shared" si="19"/>
        <v>0</v>
      </c>
    </row>
    <row r="67" spans="1:12" x14ac:dyDescent="0.25">
      <c r="A67" s="4" t="s">
        <v>37</v>
      </c>
      <c r="B67" s="14">
        <f>B38*B25*'Data inputs'!$C22</f>
        <v>14599017.252805</v>
      </c>
      <c r="C67" s="14">
        <f>C38*C25*'Data inputs'!$C22</f>
        <v>14599017.252805</v>
      </c>
      <c r="D67" s="14">
        <f>D38*D25*'Data inputs'!$C22</f>
        <v>14599017.252805</v>
      </c>
      <c r="E67" s="14">
        <f>E38*E25*'Data inputs'!$C22</f>
        <v>14599017.252805</v>
      </c>
      <c r="F67" s="14">
        <f>F38*F25*'Data inputs'!$C22</f>
        <v>14599017.252805</v>
      </c>
      <c r="G67" s="14">
        <f>G38*G25*'Data inputs'!$C22</f>
        <v>14599017.252805</v>
      </c>
      <c r="H67" s="14">
        <f>H38*H25*'Data inputs'!$C22</f>
        <v>14599017.252805</v>
      </c>
      <c r="I67" s="14">
        <f>I38*I25*'Data inputs'!$C22</f>
        <v>14599017.252805</v>
      </c>
      <c r="J67" s="14">
        <f>J38*J25*'Data inputs'!$C22</f>
        <v>14599017.252805</v>
      </c>
      <c r="K67" s="14">
        <f>K38*K25*'Data inputs'!$C22</f>
        <v>14599017.252805</v>
      </c>
      <c r="L67" s="5">
        <f t="shared" si="19"/>
        <v>14599017.252804998</v>
      </c>
    </row>
    <row r="68" spans="1:12" x14ac:dyDescent="0.25">
      <c r="A68" s="4" t="s">
        <v>38</v>
      </c>
      <c r="B68" s="14">
        <f>B39*B26*'Data inputs'!$C23</f>
        <v>0</v>
      </c>
      <c r="C68" s="14">
        <f>C39*C26*'Data inputs'!$C23</f>
        <v>0</v>
      </c>
      <c r="D68" s="14">
        <f>D39*D26*'Data inputs'!$C23</f>
        <v>0</v>
      </c>
      <c r="E68" s="14">
        <f>E39*E26*'Data inputs'!$C23</f>
        <v>0</v>
      </c>
      <c r="F68" s="14">
        <f>F39*F26*'Data inputs'!$C23</f>
        <v>0</v>
      </c>
      <c r="G68" s="14">
        <f>G39*G26*'Data inputs'!$C23</f>
        <v>0</v>
      </c>
      <c r="H68" s="14">
        <f>H39*H26*'Data inputs'!$C23</f>
        <v>0</v>
      </c>
      <c r="I68" s="14">
        <f>I39*I26*'Data inputs'!$C23</f>
        <v>0</v>
      </c>
      <c r="J68" s="14">
        <f>J39*J26*'Data inputs'!$C23</f>
        <v>0</v>
      </c>
      <c r="K68" s="14">
        <f>K39*K26*'Data inputs'!$C23</f>
        <v>0</v>
      </c>
      <c r="L68" s="5">
        <f t="shared" si="19"/>
        <v>0</v>
      </c>
    </row>
    <row r="69" spans="1:12" x14ac:dyDescent="0.25">
      <c r="A69" s="4" t="s">
        <v>15</v>
      </c>
      <c r="B69" s="60">
        <f>B40*B27*'Data inputs'!$C24</f>
        <v>12481437.449399998</v>
      </c>
      <c r="C69" s="60">
        <f>C40*C27*'Data inputs'!$C24</f>
        <v>12481437.449399998</v>
      </c>
      <c r="D69" s="60">
        <f>D40*D27*'Data inputs'!$C24</f>
        <v>12481437.449399998</v>
      </c>
      <c r="E69" s="60">
        <f>E40*E27*'Data inputs'!$C24</f>
        <v>12481437.449399998</v>
      </c>
      <c r="F69" s="60">
        <f>F40*F27*'Data inputs'!$C24</f>
        <v>12481437.449399998</v>
      </c>
      <c r="G69" s="60">
        <f>G40*G27*'Data inputs'!$C24</f>
        <v>12481437.449399998</v>
      </c>
      <c r="H69" s="60">
        <f>H40*H27*'Data inputs'!$C24</f>
        <v>12481437.449399998</v>
      </c>
      <c r="I69" s="60">
        <f>I40*I27*'Data inputs'!$C24</f>
        <v>12481437.449399998</v>
      </c>
      <c r="J69" s="60">
        <f>J40*J27*'Data inputs'!$C24</f>
        <v>12481437.449399998</v>
      </c>
      <c r="K69" s="60">
        <f>K40*K27*'Data inputs'!$C24</f>
        <v>12481437.449399998</v>
      </c>
      <c r="L69" s="13">
        <f t="shared" si="19"/>
        <v>12481437.449399997</v>
      </c>
    </row>
    <row r="70" spans="1:12" x14ac:dyDescent="0.25">
      <c r="B70" s="14">
        <f>SUM(B59:B69)</f>
        <v>30582916.061860003</v>
      </c>
      <c r="C70" s="14">
        <f t="shared" ref="C70:K70" si="20">SUM(C59:C69)</f>
        <v>30582916.061860003</v>
      </c>
      <c r="D70" s="14">
        <f t="shared" si="20"/>
        <v>30582916.061860003</v>
      </c>
      <c r="E70" s="14">
        <f t="shared" si="20"/>
        <v>30582916.061860003</v>
      </c>
      <c r="F70" s="14">
        <f t="shared" si="20"/>
        <v>30582916.061860003</v>
      </c>
      <c r="G70" s="14">
        <f t="shared" si="20"/>
        <v>30582916.061860003</v>
      </c>
      <c r="H70" s="14">
        <f t="shared" si="20"/>
        <v>30582916.061860003</v>
      </c>
      <c r="I70" s="14">
        <f t="shared" si="20"/>
        <v>30582916.061860003</v>
      </c>
      <c r="J70" s="14">
        <f t="shared" si="20"/>
        <v>30582916.061860003</v>
      </c>
      <c r="K70" s="14">
        <f t="shared" si="20"/>
        <v>30582916.061860003</v>
      </c>
      <c r="L70" s="5">
        <f t="shared" si="19"/>
        <v>30582916.061860003</v>
      </c>
    </row>
    <row r="71" spans="1:12" x14ac:dyDescent="0.25">
      <c r="B71" s="16">
        <f>B70/B$41</f>
        <v>0.23198927019857374</v>
      </c>
      <c r="C71" s="16">
        <f t="shared" ref="C71" si="21">C70/C$41</f>
        <v>0.23198927019857374</v>
      </c>
      <c r="D71" s="16">
        <f t="shared" ref="D71" si="22">D70/D$41</f>
        <v>0.23198927019857374</v>
      </c>
      <c r="E71" s="16">
        <f t="shared" ref="E71" si="23">E70/E$41</f>
        <v>0.23198927019857374</v>
      </c>
      <c r="F71" s="16">
        <f t="shared" ref="F71" si="24">F70/F$41</f>
        <v>0.23198927019857374</v>
      </c>
      <c r="G71" s="16">
        <f t="shared" ref="G71" si="25">G70/G$41</f>
        <v>0.23198927019857374</v>
      </c>
      <c r="H71" s="16">
        <f t="shared" ref="H71" si="26">H70/H$41</f>
        <v>0.23198927019857374</v>
      </c>
      <c r="I71" s="16">
        <f t="shared" ref="I71" si="27">I70/I$41</f>
        <v>0.23198927019857374</v>
      </c>
      <c r="J71" s="16">
        <f t="shared" ref="J71" si="28">J70/J$41</f>
        <v>0.23198927019857374</v>
      </c>
      <c r="K71" s="16">
        <f t="shared" ref="K71" si="29">K70/K$41</f>
        <v>0.23198927019857374</v>
      </c>
    </row>
    <row r="72" spans="1:12" x14ac:dyDescent="0.25">
      <c r="A72" s="61" t="s">
        <v>58</v>
      </c>
      <c r="B72" s="18"/>
      <c r="C72" s="48"/>
      <c r="D72" s="48"/>
      <c r="E72" s="48"/>
      <c r="F72" s="48"/>
      <c r="G72" s="48"/>
      <c r="H72" s="48"/>
      <c r="I72" s="48"/>
      <c r="J72" s="48"/>
      <c r="K72" s="48"/>
    </row>
    <row r="73" spans="1:12" x14ac:dyDescent="0.25">
      <c r="A73" s="20" t="s">
        <v>35</v>
      </c>
      <c r="B73" s="5">
        <f t="shared" ref="B73:B83" si="30">(B59+B44)/2</f>
        <v>3340304.4578050002</v>
      </c>
      <c r="C73" s="5">
        <f t="shared" ref="C73:K73" si="31">(C59+C44)/2</f>
        <v>3340304.4578050002</v>
      </c>
      <c r="D73" s="5">
        <f t="shared" si="31"/>
        <v>3340304.4578050002</v>
      </c>
      <c r="E73" s="5">
        <f t="shared" si="31"/>
        <v>3340304.4578050002</v>
      </c>
      <c r="F73" s="5">
        <f t="shared" si="31"/>
        <v>3340304.4578050002</v>
      </c>
      <c r="G73" s="5">
        <f t="shared" si="31"/>
        <v>3340304.4578050002</v>
      </c>
      <c r="H73" s="5">
        <f t="shared" si="31"/>
        <v>3340304.4578050002</v>
      </c>
      <c r="I73" s="5">
        <f t="shared" si="31"/>
        <v>3340304.4578050002</v>
      </c>
      <c r="J73" s="5">
        <f t="shared" si="31"/>
        <v>3340304.4578050002</v>
      </c>
      <c r="K73" s="5">
        <f t="shared" si="31"/>
        <v>3340304.4578050002</v>
      </c>
    </row>
    <row r="74" spans="1:12" x14ac:dyDescent="0.25">
      <c r="A74" s="20" t="s">
        <v>36</v>
      </c>
      <c r="B74" s="5">
        <f t="shared" si="30"/>
        <v>721419.61199999996</v>
      </c>
      <c r="C74" s="5">
        <f t="shared" ref="C74:K74" si="32">(C60+C45)/2</f>
        <v>721419.61199999996</v>
      </c>
      <c r="D74" s="5">
        <f t="shared" si="32"/>
        <v>721419.61199999996</v>
      </c>
      <c r="E74" s="5">
        <f t="shared" si="32"/>
        <v>721419.61199999996</v>
      </c>
      <c r="F74" s="5">
        <f t="shared" si="32"/>
        <v>721419.61199999996</v>
      </c>
      <c r="G74" s="5">
        <f t="shared" si="32"/>
        <v>721419.61199999996</v>
      </c>
      <c r="H74" s="5">
        <f t="shared" si="32"/>
        <v>721419.61199999996</v>
      </c>
      <c r="I74" s="5">
        <f t="shared" si="32"/>
        <v>721419.61199999996</v>
      </c>
      <c r="J74" s="5">
        <f t="shared" si="32"/>
        <v>721419.61199999996</v>
      </c>
      <c r="K74" s="5">
        <f t="shared" si="32"/>
        <v>721419.61199999996</v>
      </c>
    </row>
    <row r="75" spans="1:12" x14ac:dyDescent="0.25">
      <c r="A75" s="20" t="s">
        <v>11</v>
      </c>
      <c r="B75" s="5">
        <f t="shared" si="30"/>
        <v>0</v>
      </c>
      <c r="C75" s="5">
        <f t="shared" ref="C75:K75" si="33">(C61+C46)/2</f>
        <v>0</v>
      </c>
      <c r="D75" s="5">
        <f t="shared" si="33"/>
        <v>0</v>
      </c>
      <c r="E75" s="5">
        <f t="shared" si="33"/>
        <v>0</v>
      </c>
      <c r="F75" s="5">
        <f t="shared" si="33"/>
        <v>0</v>
      </c>
      <c r="G75" s="5">
        <f t="shared" si="33"/>
        <v>0</v>
      </c>
      <c r="H75" s="5">
        <f t="shared" si="33"/>
        <v>0</v>
      </c>
      <c r="I75" s="5">
        <f t="shared" si="33"/>
        <v>0</v>
      </c>
      <c r="J75" s="5">
        <f t="shared" si="33"/>
        <v>0</v>
      </c>
      <c r="K75" s="5">
        <f t="shared" si="33"/>
        <v>0</v>
      </c>
    </row>
    <row r="76" spans="1:12" x14ac:dyDescent="0.25">
      <c r="A76" s="20" t="s">
        <v>124</v>
      </c>
      <c r="B76" s="5">
        <f t="shared" si="30"/>
        <v>350000</v>
      </c>
      <c r="C76" s="5">
        <f t="shared" ref="C76:K76" si="34">(C62+C47)/2</f>
        <v>350000</v>
      </c>
      <c r="D76" s="5">
        <f t="shared" si="34"/>
        <v>350000</v>
      </c>
      <c r="E76" s="5">
        <f t="shared" si="34"/>
        <v>350000</v>
      </c>
      <c r="F76" s="5">
        <f t="shared" si="34"/>
        <v>350000</v>
      </c>
      <c r="G76" s="5">
        <f t="shared" si="34"/>
        <v>350000</v>
      </c>
      <c r="H76" s="5">
        <f t="shared" si="34"/>
        <v>350000</v>
      </c>
      <c r="I76" s="5">
        <f t="shared" si="34"/>
        <v>350000</v>
      </c>
      <c r="J76" s="5">
        <f t="shared" si="34"/>
        <v>350000</v>
      </c>
      <c r="K76" s="5">
        <f t="shared" si="34"/>
        <v>350000</v>
      </c>
    </row>
    <row r="77" spans="1:12" x14ac:dyDescent="0.25">
      <c r="A77" s="20" t="s">
        <v>12</v>
      </c>
      <c r="B77" s="5">
        <f t="shared" si="30"/>
        <v>1150362.0273333332</v>
      </c>
      <c r="C77" s="5">
        <f t="shared" ref="C77:K77" si="35">(C63+C48)/2</f>
        <v>1150362.0273333332</v>
      </c>
      <c r="D77" s="5">
        <f t="shared" si="35"/>
        <v>1150362.0273333332</v>
      </c>
      <c r="E77" s="5">
        <f t="shared" si="35"/>
        <v>1150362.0273333332</v>
      </c>
      <c r="F77" s="5">
        <f t="shared" si="35"/>
        <v>1150362.0273333332</v>
      </c>
      <c r="G77" s="5">
        <f t="shared" si="35"/>
        <v>1150362.0273333332</v>
      </c>
      <c r="H77" s="5">
        <f t="shared" si="35"/>
        <v>1150362.0273333332</v>
      </c>
      <c r="I77" s="5">
        <f t="shared" si="35"/>
        <v>1150362.0273333332</v>
      </c>
      <c r="J77" s="5">
        <f t="shared" si="35"/>
        <v>1150362.0273333332</v>
      </c>
      <c r="K77" s="5">
        <f t="shared" si="35"/>
        <v>1150362.0273333332</v>
      </c>
    </row>
    <row r="78" spans="1:12" x14ac:dyDescent="0.25">
      <c r="A78" s="20" t="s">
        <v>13</v>
      </c>
      <c r="B78" s="5">
        <f t="shared" si="30"/>
        <v>0</v>
      </c>
      <c r="C78" s="5">
        <f t="shared" ref="C78:K78" si="36">(C64+C49)/2</f>
        <v>0</v>
      </c>
      <c r="D78" s="5">
        <f t="shared" si="36"/>
        <v>0</v>
      </c>
      <c r="E78" s="5">
        <f t="shared" si="36"/>
        <v>0</v>
      </c>
      <c r="F78" s="5">
        <f t="shared" si="36"/>
        <v>0</v>
      </c>
      <c r="G78" s="5">
        <f t="shared" si="36"/>
        <v>0</v>
      </c>
      <c r="H78" s="5">
        <f t="shared" si="36"/>
        <v>0</v>
      </c>
      <c r="I78" s="5">
        <f t="shared" si="36"/>
        <v>0</v>
      </c>
      <c r="J78" s="5">
        <f t="shared" si="36"/>
        <v>0</v>
      </c>
      <c r="K78" s="5">
        <f t="shared" si="36"/>
        <v>0</v>
      </c>
    </row>
    <row r="79" spans="1:12" x14ac:dyDescent="0.25">
      <c r="A79" s="20" t="s">
        <v>14</v>
      </c>
      <c r="B79" s="5">
        <f t="shared" si="30"/>
        <v>0</v>
      </c>
      <c r="C79" s="5">
        <f t="shared" ref="C79:K79" si="37">(C65+C50)/2</f>
        <v>0</v>
      </c>
      <c r="D79" s="5">
        <f t="shared" si="37"/>
        <v>0</v>
      </c>
      <c r="E79" s="5">
        <f t="shared" si="37"/>
        <v>0</v>
      </c>
      <c r="F79" s="5">
        <f t="shared" si="37"/>
        <v>0</v>
      </c>
      <c r="G79" s="5">
        <f t="shared" si="37"/>
        <v>0</v>
      </c>
      <c r="H79" s="5">
        <f t="shared" si="37"/>
        <v>0</v>
      </c>
      <c r="I79" s="5">
        <f t="shared" si="37"/>
        <v>0</v>
      </c>
      <c r="J79" s="5">
        <f t="shared" si="37"/>
        <v>0</v>
      </c>
      <c r="K79" s="5">
        <f t="shared" si="37"/>
        <v>0</v>
      </c>
    </row>
    <row r="80" spans="1:12" x14ac:dyDescent="0.25">
      <c r="A80" s="20" t="s">
        <v>125</v>
      </c>
      <c r="B80" s="5">
        <f t="shared" si="30"/>
        <v>0</v>
      </c>
      <c r="C80" s="5">
        <f t="shared" ref="C80:K80" si="38">(C66+C51)/2</f>
        <v>0</v>
      </c>
      <c r="D80" s="5">
        <f t="shared" si="38"/>
        <v>0</v>
      </c>
      <c r="E80" s="5">
        <f t="shared" si="38"/>
        <v>0</v>
      </c>
      <c r="F80" s="5">
        <f t="shared" si="38"/>
        <v>0</v>
      </c>
      <c r="G80" s="5">
        <f t="shared" si="38"/>
        <v>0</v>
      </c>
      <c r="H80" s="5">
        <f t="shared" si="38"/>
        <v>0</v>
      </c>
      <c r="I80" s="5">
        <f t="shared" si="38"/>
        <v>0</v>
      </c>
      <c r="J80" s="5">
        <f t="shared" si="38"/>
        <v>0</v>
      </c>
      <c r="K80" s="5">
        <f t="shared" si="38"/>
        <v>0</v>
      </c>
    </row>
    <row r="81" spans="1:11" x14ac:dyDescent="0.25">
      <c r="A81" s="20" t="s">
        <v>37</v>
      </c>
      <c r="B81" s="5">
        <f t="shared" si="30"/>
        <v>17994137.544154998</v>
      </c>
      <c r="C81" s="5">
        <f t="shared" ref="C81:K81" si="39">(C67+C52)/2</f>
        <v>17994137.544154998</v>
      </c>
      <c r="D81" s="5">
        <f t="shared" si="39"/>
        <v>17994137.544154998</v>
      </c>
      <c r="E81" s="5">
        <f t="shared" si="39"/>
        <v>17994137.544154998</v>
      </c>
      <c r="F81" s="5">
        <f t="shared" si="39"/>
        <v>17994137.544154998</v>
      </c>
      <c r="G81" s="5">
        <f t="shared" si="39"/>
        <v>17994137.544154998</v>
      </c>
      <c r="H81" s="5">
        <f t="shared" si="39"/>
        <v>17994137.544154998</v>
      </c>
      <c r="I81" s="5">
        <f t="shared" si="39"/>
        <v>17994137.544154998</v>
      </c>
      <c r="J81" s="5">
        <f t="shared" si="39"/>
        <v>17994137.544154998</v>
      </c>
      <c r="K81" s="5">
        <f t="shared" si="39"/>
        <v>17994137.544154998</v>
      </c>
    </row>
    <row r="82" spans="1:11" x14ac:dyDescent="0.25">
      <c r="A82" s="20" t="s">
        <v>38</v>
      </c>
      <c r="B82" s="5">
        <f t="shared" si="30"/>
        <v>168537.66149999999</v>
      </c>
      <c r="C82" s="5">
        <f t="shared" ref="C82:K82" si="40">(C68+C53)/2</f>
        <v>168537.66149999999</v>
      </c>
      <c r="D82" s="5">
        <f t="shared" si="40"/>
        <v>168537.66149999999</v>
      </c>
      <c r="E82" s="5">
        <f t="shared" si="40"/>
        <v>168537.66149999999</v>
      </c>
      <c r="F82" s="5">
        <f t="shared" si="40"/>
        <v>168537.66149999999</v>
      </c>
      <c r="G82" s="5">
        <f t="shared" si="40"/>
        <v>168537.66149999999</v>
      </c>
      <c r="H82" s="5">
        <f t="shared" si="40"/>
        <v>168537.66149999999</v>
      </c>
      <c r="I82" s="5">
        <f t="shared" si="40"/>
        <v>168537.66149999999</v>
      </c>
      <c r="J82" s="5">
        <f t="shared" si="40"/>
        <v>168537.66149999999</v>
      </c>
      <c r="K82" s="5">
        <f t="shared" si="40"/>
        <v>168537.66149999999</v>
      </c>
    </row>
    <row r="83" spans="1:11" x14ac:dyDescent="0.25">
      <c r="A83" s="20" t="s">
        <v>15</v>
      </c>
      <c r="B83" s="13">
        <f t="shared" si="30"/>
        <v>18722156.1741</v>
      </c>
      <c r="C83" s="13">
        <f t="shared" ref="C83:K83" si="41">(C69+C54)/2</f>
        <v>18722156.1741</v>
      </c>
      <c r="D83" s="13">
        <f t="shared" si="41"/>
        <v>18722156.1741</v>
      </c>
      <c r="E83" s="13">
        <f t="shared" si="41"/>
        <v>18722156.1741</v>
      </c>
      <c r="F83" s="13">
        <f t="shared" si="41"/>
        <v>18722156.1741</v>
      </c>
      <c r="G83" s="13">
        <f t="shared" si="41"/>
        <v>18722156.1741</v>
      </c>
      <c r="H83" s="13">
        <f t="shared" si="41"/>
        <v>18722156.1741</v>
      </c>
      <c r="I83" s="13">
        <f t="shared" si="41"/>
        <v>18722156.1741</v>
      </c>
      <c r="J83" s="13">
        <f t="shared" si="41"/>
        <v>18722156.1741</v>
      </c>
      <c r="K83" s="13">
        <f t="shared" si="41"/>
        <v>18722156.1741</v>
      </c>
    </row>
    <row r="84" spans="1:11" x14ac:dyDescent="0.25">
      <c r="A84" s="5"/>
      <c r="B84" s="5">
        <f t="shared" ref="B84:K84" si="42">SUM(B73:B83)</f>
        <v>42446917.476893336</v>
      </c>
      <c r="C84" s="5">
        <f t="shared" si="42"/>
        <v>42446917.476893336</v>
      </c>
      <c r="D84" s="5">
        <f t="shared" si="42"/>
        <v>42446917.476893336</v>
      </c>
      <c r="E84" s="5">
        <f t="shared" si="42"/>
        <v>42446917.476893336</v>
      </c>
      <c r="F84" s="5">
        <f t="shared" si="42"/>
        <v>42446917.476893336</v>
      </c>
      <c r="G84" s="5">
        <f t="shared" si="42"/>
        <v>42446917.476893336</v>
      </c>
      <c r="H84" s="5">
        <f t="shared" si="42"/>
        <v>42446917.476893336</v>
      </c>
      <c r="I84" s="5">
        <f t="shared" si="42"/>
        <v>42446917.476893336</v>
      </c>
      <c r="J84" s="5">
        <f t="shared" si="42"/>
        <v>42446917.476893336</v>
      </c>
      <c r="K84" s="5">
        <f t="shared" si="42"/>
        <v>42446917.476893336</v>
      </c>
    </row>
    <row r="85" spans="1:11" x14ac:dyDescent="0.25">
      <c r="B85" s="16">
        <f>B84/B$41</f>
        <v>0.32198464619023248</v>
      </c>
      <c r="C85" s="16">
        <f t="shared" ref="C85" si="43">C84/C$41</f>
        <v>0.32198464619023248</v>
      </c>
      <c r="D85" s="16">
        <f t="shared" ref="D85" si="44">D84/D$41</f>
        <v>0.32198464619023248</v>
      </c>
      <c r="E85" s="16">
        <f t="shared" ref="E85" si="45">E84/E$41</f>
        <v>0.32198464619023248</v>
      </c>
      <c r="F85" s="16">
        <f t="shared" ref="F85" si="46">F84/F$41</f>
        <v>0.32198464619023248</v>
      </c>
      <c r="G85" s="16">
        <f t="shared" ref="G85" si="47">G84/G$41</f>
        <v>0.32198464619023248</v>
      </c>
      <c r="H85" s="16">
        <f t="shared" ref="H85" si="48">H84/H$41</f>
        <v>0.32198464619023248</v>
      </c>
      <c r="I85" s="16">
        <f t="shared" ref="I85" si="49">I84/I$41</f>
        <v>0.32198464619023248</v>
      </c>
      <c r="J85" s="16">
        <f t="shared" ref="J85" si="50">J84/J$41</f>
        <v>0.32198464619023248</v>
      </c>
      <c r="K85" s="16">
        <f t="shared" ref="K85" si="51">K84/K$41</f>
        <v>0.32198464619023248</v>
      </c>
    </row>
    <row r="86" spans="1:11" s="3" customFormat="1" x14ac:dyDescent="0.25">
      <c r="A86" s="2" t="s">
        <v>31</v>
      </c>
    </row>
    <row r="87" spans="1:11" x14ac:dyDescent="0.25">
      <c r="B87" s="12" t="str">
        <f>'Summary dashboard'!C4</f>
        <v>2023</v>
      </c>
      <c r="C87" s="12">
        <f>B87+1</f>
        <v>2024</v>
      </c>
      <c r="D87" s="12">
        <f t="shared" ref="D87" si="52">C87+1</f>
        <v>2025</v>
      </c>
      <c r="E87" s="12">
        <f t="shared" ref="E87" si="53">D87+1</f>
        <v>2026</v>
      </c>
      <c r="F87" s="12">
        <f t="shared" ref="F87" si="54">E87+1</f>
        <v>2027</v>
      </c>
      <c r="G87" s="12">
        <f t="shared" ref="G87" si="55">F87+1</f>
        <v>2028</v>
      </c>
      <c r="H87" s="12">
        <f t="shared" ref="H87" si="56">G87+1</f>
        <v>2029</v>
      </c>
      <c r="I87" s="12">
        <f t="shared" ref="I87" si="57">H87+1</f>
        <v>2030</v>
      </c>
      <c r="J87" s="12">
        <f t="shared" ref="J87" si="58">I87+1</f>
        <v>2031</v>
      </c>
      <c r="K87" s="12">
        <f>J87+1</f>
        <v>2032</v>
      </c>
    </row>
    <row r="88" spans="1:11" x14ac:dyDescent="0.25">
      <c r="A88" s="4" t="s">
        <v>35</v>
      </c>
      <c r="B88" s="16">
        <f>'Inkomati-Pongola CMA'!B31</f>
        <v>1</v>
      </c>
      <c r="C88" s="16">
        <f>'Inkomati-Pongola CMA'!C31</f>
        <v>1</v>
      </c>
      <c r="D88" s="16">
        <f>'Inkomati-Pongola CMA'!D31</f>
        <v>1</v>
      </c>
      <c r="E88" s="16">
        <f>'Inkomati-Pongola CMA'!E31</f>
        <v>1</v>
      </c>
      <c r="F88" s="16">
        <f>'Inkomati-Pongola CMA'!F31</f>
        <v>1</v>
      </c>
      <c r="G88" s="16">
        <f>'Inkomati-Pongola CMA'!G31</f>
        <v>1</v>
      </c>
      <c r="H88" s="16">
        <f>'Inkomati-Pongola CMA'!H31</f>
        <v>1</v>
      </c>
      <c r="I88" s="16">
        <f>'Inkomati-Pongola CMA'!I31</f>
        <v>1</v>
      </c>
      <c r="J88" s="16">
        <f>'Inkomati-Pongola CMA'!J31</f>
        <v>1</v>
      </c>
      <c r="K88" s="16">
        <f>'Inkomati-Pongola CMA'!K31</f>
        <v>1</v>
      </c>
    </row>
    <row r="89" spans="1:11" x14ac:dyDescent="0.25">
      <c r="A89" s="4" t="s">
        <v>36</v>
      </c>
      <c r="B89" s="16">
        <f>'Inkomati-Pongola CMA'!B32</f>
        <v>1</v>
      </c>
      <c r="C89" s="16">
        <f>'Inkomati-Pongola CMA'!C32</f>
        <v>1</v>
      </c>
      <c r="D89" s="16">
        <f>'Inkomati-Pongola CMA'!D32</f>
        <v>1</v>
      </c>
      <c r="E89" s="16">
        <f>'Inkomati-Pongola CMA'!E32</f>
        <v>1</v>
      </c>
      <c r="F89" s="16">
        <f>'Inkomati-Pongola CMA'!F32</f>
        <v>1</v>
      </c>
      <c r="G89" s="16">
        <f>'Inkomati-Pongola CMA'!G32</f>
        <v>1</v>
      </c>
      <c r="H89" s="16">
        <f>'Inkomati-Pongola CMA'!H32</f>
        <v>1</v>
      </c>
      <c r="I89" s="16">
        <f>'Inkomati-Pongola CMA'!I32</f>
        <v>1</v>
      </c>
      <c r="J89" s="16">
        <f>'Inkomati-Pongola CMA'!J32</f>
        <v>1</v>
      </c>
      <c r="K89" s="16">
        <f>'Inkomati-Pongola CMA'!K32</f>
        <v>1</v>
      </c>
    </row>
    <row r="90" spans="1:11" x14ac:dyDescent="0.25">
      <c r="A90" s="4" t="s">
        <v>11</v>
      </c>
      <c r="B90" s="16">
        <f>'Inkomati-Pongola CMA'!B33</f>
        <v>1</v>
      </c>
      <c r="C90" s="16">
        <f>'Inkomati-Pongola CMA'!C33</f>
        <v>1</v>
      </c>
      <c r="D90" s="16">
        <f>'Inkomati-Pongola CMA'!D33</f>
        <v>1</v>
      </c>
      <c r="E90" s="16">
        <f>'Inkomati-Pongola CMA'!E33</f>
        <v>1</v>
      </c>
      <c r="F90" s="16">
        <f>'Inkomati-Pongola CMA'!F33</f>
        <v>1</v>
      </c>
      <c r="G90" s="16">
        <f>'Inkomati-Pongola CMA'!G33</f>
        <v>1</v>
      </c>
      <c r="H90" s="16">
        <f>'Inkomati-Pongola CMA'!H33</f>
        <v>1</v>
      </c>
      <c r="I90" s="16">
        <f>'Inkomati-Pongola CMA'!I33</f>
        <v>1</v>
      </c>
      <c r="J90" s="16">
        <f>'Inkomati-Pongola CMA'!J33</f>
        <v>1</v>
      </c>
      <c r="K90" s="16">
        <f>'Inkomati-Pongola CMA'!K33</f>
        <v>1</v>
      </c>
    </row>
    <row r="91" spans="1:11" x14ac:dyDescent="0.25">
      <c r="A91" s="4" t="s">
        <v>124</v>
      </c>
      <c r="B91" s="16">
        <f>'Inkomati-Pongola CMA'!B34</f>
        <v>1</v>
      </c>
      <c r="C91" s="16">
        <f>'Inkomati-Pongola CMA'!C34</f>
        <v>1</v>
      </c>
      <c r="D91" s="16">
        <f>'Inkomati-Pongola CMA'!D34</f>
        <v>1</v>
      </c>
      <c r="E91" s="16">
        <f>'Inkomati-Pongola CMA'!E34</f>
        <v>1</v>
      </c>
      <c r="F91" s="16">
        <f>'Inkomati-Pongola CMA'!F34</f>
        <v>1</v>
      </c>
      <c r="G91" s="16">
        <f>'Inkomati-Pongola CMA'!G34</f>
        <v>1</v>
      </c>
      <c r="H91" s="16">
        <f>'Inkomati-Pongola CMA'!H34</f>
        <v>1</v>
      </c>
      <c r="I91" s="16">
        <f>'Inkomati-Pongola CMA'!I34</f>
        <v>1</v>
      </c>
      <c r="J91" s="16">
        <f>'Inkomati-Pongola CMA'!J34</f>
        <v>1</v>
      </c>
      <c r="K91" s="16">
        <f>'Inkomati-Pongola CMA'!K34</f>
        <v>1</v>
      </c>
    </row>
    <row r="92" spans="1:11" x14ac:dyDescent="0.25">
      <c r="A92" s="4" t="s">
        <v>12</v>
      </c>
      <c r="B92" s="16">
        <f>'Inkomati-Pongola CMA'!B35</f>
        <v>1</v>
      </c>
      <c r="C92" s="16">
        <f>'Inkomati-Pongola CMA'!C35</f>
        <v>1</v>
      </c>
      <c r="D92" s="16">
        <f>'Inkomati-Pongola CMA'!D35</f>
        <v>1</v>
      </c>
      <c r="E92" s="16">
        <f>'Inkomati-Pongola CMA'!E35</f>
        <v>1</v>
      </c>
      <c r="F92" s="16">
        <f>'Inkomati-Pongola CMA'!F35</f>
        <v>1</v>
      </c>
      <c r="G92" s="16">
        <f>'Inkomati-Pongola CMA'!G35</f>
        <v>1</v>
      </c>
      <c r="H92" s="16">
        <f>'Inkomati-Pongola CMA'!H35</f>
        <v>1</v>
      </c>
      <c r="I92" s="16">
        <f>'Inkomati-Pongola CMA'!I35</f>
        <v>1</v>
      </c>
      <c r="J92" s="16">
        <f>'Inkomati-Pongola CMA'!J35</f>
        <v>1</v>
      </c>
      <c r="K92" s="16">
        <f>'Inkomati-Pongola CMA'!K35</f>
        <v>1</v>
      </c>
    </row>
    <row r="93" spans="1:11" x14ac:dyDescent="0.25">
      <c r="A93" s="4" t="s">
        <v>13</v>
      </c>
      <c r="B93" s="16">
        <f>'Inkomati-Pongola CMA'!B36</f>
        <v>1</v>
      </c>
      <c r="C93" s="16">
        <f>'Inkomati-Pongola CMA'!C36</f>
        <v>1</v>
      </c>
      <c r="D93" s="16">
        <f>'Inkomati-Pongola CMA'!D36</f>
        <v>1</v>
      </c>
      <c r="E93" s="16">
        <f>'Inkomati-Pongola CMA'!E36</f>
        <v>1</v>
      </c>
      <c r="F93" s="16">
        <f>'Inkomati-Pongola CMA'!F36</f>
        <v>1</v>
      </c>
      <c r="G93" s="16">
        <f>'Inkomati-Pongola CMA'!G36</f>
        <v>1</v>
      </c>
      <c r="H93" s="16">
        <f>'Inkomati-Pongola CMA'!H36</f>
        <v>1</v>
      </c>
      <c r="I93" s="16">
        <f>'Inkomati-Pongola CMA'!I36</f>
        <v>1</v>
      </c>
      <c r="J93" s="16">
        <f>'Inkomati-Pongola CMA'!J36</f>
        <v>1</v>
      </c>
      <c r="K93" s="16">
        <f>'Inkomati-Pongola CMA'!K36</f>
        <v>1</v>
      </c>
    </row>
    <row r="94" spans="1:11" x14ac:dyDescent="0.25">
      <c r="A94" s="4" t="s">
        <v>14</v>
      </c>
      <c r="B94" s="16">
        <f>'Inkomati-Pongola CMA'!B37</f>
        <v>1</v>
      </c>
      <c r="C94" s="16">
        <f>'Inkomati-Pongola CMA'!C37</f>
        <v>1</v>
      </c>
      <c r="D94" s="16">
        <f>'Inkomati-Pongola CMA'!D37</f>
        <v>1</v>
      </c>
      <c r="E94" s="16">
        <f>'Inkomati-Pongola CMA'!E37</f>
        <v>1</v>
      </c>
      <c r="F94" s="16">
        <f>'Inkomati-Pongola CMA'!F37</f>
        <v>1</v>
      </c>
      <c r="G94" s="16">
        <f>'Inkomati-Pongola CMA'!G37</f>
        <v>1</v>
      </c>
      <c r="H94" s="16">
        <f>'Inkomati-Pongola CMA'!H37</f>
        <v>1</v>
      </c>
      <c r="I94" s="16">
        <f>'Inkomati-Pongola CMA'!I37</f>
        <v>1</v>
      </c>
      <c r="J94" s="16">
        <f>'Inkomati-Pongola CMA'!J37</f>
        <v>1</v>
      </c>
      <c r="K94" s="16">
        <f>'Inkomati-Pongola CMA'!K37</f>
        <v>1</v>
      </c>
    </row>
    <row r="95" spans="1:11" x14ac:dyDescent="0.25">
      <c r="A95" s="4" t="s">
        <v>125</v>
      </c>
      <c r="B95" s="16">
        <f>'Inkomati-Pongola CMA'!B38</f>
        <v>1</v>
      </c>
      <c r="C95" s="16">
        <f>'Inkomati-Pongola CMA'!C38</f>
        <v>1</v>
      </c>
      <c r="D95" s="16">
        <f>'Inkomati-Pongola CMA'!D38</f>
        <v>1</v>
      </c>
      <c r="E95" s="16">
        <f>'Inkomati-Pongola CMA'!E38</f>
        <v>1</v>
      </c>
      <c r="F95" s="16">
        <f>'Inkomati-Pongola CMA'!F38</f>
        <v>1</v>
      </c>
      <c r="G95" s="16">
        <f>'Inkomati-Pongola CMA'!G38</f>
        <v>1</v>
      </c>
      <c r="H95" s="16">
        <f>'Inkomati-Pongola CMA'!H38</f>
        <v>1</v>
      </c>
      <c r="I95" s="16">
        <f>'Inkomati-Pongola CMA'!I38</f>
        <v>1</v>
      </c>
      <c r="J95" s="16">
        <f>'Inkomati-Pongola CMA'!J38</f>
        <v>1</v>
      </c>
      <c r="K95" s="16">
        <f>'Inkomati-Pongola CMA'!K38</f>
        <v>1</v>
      </c>
    </row>
    <row r="96" spans="1:11" x14ac:dyDescent="0.25">
      <c r="A96" s="4" t="s">
        <v>37</v>
      </c>
      <c r="B96" s="16">
        <f>'Inkomati-Pongola CMA'!B39</f>
        <v>1</v>
      </c>
      <c r="C96" s="16">
        <f>'Inkomati-Pongola CMA'!C39</f>
        <v>1</v>
      </c>
      <c r="D96" s="16">
        <f>'Inkomati-Pongola CMA'!D39</f>
        <v>1</v>
      </c>
      <c r="E96" s="16">
        <f>'Inkomati-Pongola CMA'!E39</f>
        <v>1</v>
      </c>
      <c r="F96" s="16">
        <f>'Inkomati-Pongola CMA'!F39</f>
        <v>1</v>
      </c>
      <c r="G96" s="16">
        <f>'Inkomati-Pongola CMA'!G39</f>
        <v>1</v>
      </c>
      <c r="H96" s="16">
        <f>'Inkomati-Pongola CMA'!H39</f>
        <v>1</v>
      </c>
      <c r="I96" s="16">
        <f>'Inkomati-Pongola CMA'!I39</f>
        <v>1</v>
      </c>
      <c r="J96" s="16">
        <f>'Inkomati-Pongola CMA'!J39</f>
        <v>1</v>
      </c>
      <c r="K96" s="16">
        <f>'Inkomati-Pongola CMA'!K39</f>
        <v>1</v>
      </c>
    </row>
    <row r="97" spans="1:13" x14ac:dyDescent="0.25">
      <c r="A97" s="4" t="s">
        <v>38</v>
      </c>
      <c r="B97" s="16">
        <f>'Inkomati-Pongola CMA'!B40</f>
        <v>1</v>
      </c>
      <c r="C97" s="16">
        <f>'Inkomati-Pongola CMA'!C40</f>
        <v>1</v>
      </c>
      <c r="D97" s="16">
        <f>'Inkomati-Pongola CMA'!D40</f>
        <v>1</v>
      </c>
      <c r="E97" s="16">
        <f>'Inkomati-Pongola CMA'!E40</f>
        <v>1</v>
      </c>
      <c r="F97" s="16">
        <f>'Inkomati-Pongola CMA'!F40</f>
        <v>1</v>
      </c>
      <c r="G97" s="16">
        <f>'Inkomati-Pongola CMA'!G40</f>
        <v>1</v>
      </c>
      <c r="H97" s="16">
        <f>'Inkomati-Pongola CMA'!H40</f>
        <v>1</v>
      </c>
      <c r="I97" s="16">
        <f>'Inkomati-Pongola CMA'!I40</f>
        <v>1</v>
      </c>
      <c r="J97" s="16">
        <f>'Inkomati-Pongola CMA'!J40</f>
        <v>1</v>
      </c>
      <c r="K97" s="16">
        <f>'Inkomati-Pongola CMA'!K40</f>
        <v>1</v>
      </c>
    </row>
    <row r="98" spans="1:13" x14ac:dyDescent="0.25">
      <c r="A98" s="4" t="s">
        <v>15</v>
      </c>
      <c r="B98" s="16">
        <f>'Inkomati-Pongola CMA'!B41</f>
        <v>1</v>
      </c>
      <c r="C98" s="16">
        <f>'Inkomati-Pongola CMA'!C41</f>
        <v>1</v>
      </c>
      <c r="D98" s="16">
        <f>'Inkomati-Pongola CMA'!D41</f>
        <v>1</v>
      </c>
      <c r="E98" s="16">
        <f>'Inkomati-Pongola CMA'!E41</f>
        <v>1</v>
      </c>
      <c r="F98" s="16">
        <f>'Inkomati-Pongola CMA'!F41</f>
        <v>1</v>
      </c>
      <c r="G98" s="16">
        <f>'Inkomati-Pongola CMA'!G41</f>
        <v>1</v>
      </c>
      <c r="H98" s="16">
        <f>'Inkomati-Pongola CMA'!H41</f>
        <v>1</v>
      </c>
      <c r="I98" s="16">
        <f>'Inkomati-Pongola CMA'!I41</f>
        <v>1</v>
      </c>
      <c r="J98" s="16">
        <f>'Inkomati-Pongola CMA'!J41</f>
        <v>1</v>
      </c>
      <c r="K98" s="16">
        <f>'Inkomati-Pongola CMA'!K41</f>
        <v>1</v>
      </c>
    </row>
    <row r="99" spans="1:13" x14ac:dyDescent="0.25">
      <c r="C99" s="6"/>
      <c r="D99" s="6"/>
      <c r="E99" s="6"/>
      <c r="F99" s="6"/>
      <c r="G99" s="6"/>
      <c r="H99" s="6"/>
      <c r="I99" s="6"/>
      <c r="J99" s="6"/>
      <c r="K99" s="6"/>
    </row>
    <row r="100" spans="1:13" x14ac:dyDescent="0.25">
      <c r="A100" s="1" t="s">
        <v>60</v>
      </c>
      <c r="B100" s="12" t="str">
        <f>'Summary dashboard'!C4</f>
        <v>2023</v>
      </c>
      <c r="C100" s="12">
        <f t="shared" ref="C100" si="59">B100+1</f>
        <v>2024</v>
      </c>
      <c r="D100" s="12">
        <f t="shared" ref="D100" si="60">C100+1</f>
        <v>2025</v>
      </c>
      <c r="E100" s="12">
        <f t="shared" ref="E100" si="61">D100+1</f>
        <v>2026</v>
      </c>
      <c r="F100" s="12">
        <f t="shared" ref="F100" si="62">E100+1</f>
        <v>2027</v>
      </c>
      <c r="G100" s="12">
        <f t="shared" ref="G100" si="63">F100+1</f>
        <v>2028</v>
      </c>
      <c r="H100" s="12">
        <f t="shared" ref="H100" si="64">G100+1</f>
        <v>2029</v>
      </c>
      <c r="I100" s="12">
        <f t="shared" ref="I100" si="65">H100+1</f>
        <v>2030</v>
      </c>
      <c r="J100" s="12">
        <f t="shared" ref="J100" si="66">I100+1</f>
        <v>2031</v>
      </c>
      <c r="K100" s="12">
        <f t="shared" ref="K100" si="67">J100+1</f>
        <v>2032</v>
      </c>
      <c r="L100" s="1" t="s">
        <v>28</v>
      </c>
    </row>
    <row r="101" spans="1:13" x14ac:dyDescent="0.25">
      <c r="A101" s="4" t="s">
        <v>35</v>
      </c>
      <c r="B101" s="32">
        <f>$C3*B88</f>
        <v>13355253.223953461</v>
      </c>
      <c r="C101" s="32">
        <f t="shared" ref="C101:K101" si="68">$C3*C88</f>
        <v>13355253.223953461</v>
      </c>
      <c r="D101" s="32">
        <f t="shared" si="68"/>
        <v>13355253.223953461</v>
      </c>
      <c r="E101" s="32">
        <f t="shared" si="68"/>
        <v>13355253.223953461</v>
      </c>
      <c r="F101" s="32">
        <f t="shared" si="68"/>
        <v>13355253.223953461</v>
      </c>
      <c r="G101" s="32">
        <f t="shared" si="68"/>
        <v>13355253.223953461</v>
      </c>
      <c r="H101" s="32">
        <f t="shared" si="68"/>
        <v>13355253.223953461</v>
      </c>
      <c r="I101" s="32">
        <f t="shared" si="68"/>
        <v>13355253.223953461</v>
      </c>
      <c r="J101" s="32">
        <f t="shared" si="68"/>
        <v>13355253.223953461</v>
      </c>
      <c r="K101" s="32">
        <f t="shared" si="68"/>
        <v>13355253.223953461</v>
      </c>
      <c r="L101" s="5">
        <f t="shared" ref="L101:L112" si="69">AVERAGE(B101:K101)</f>
        <v>13355253.223953459</v>
      </c>
    </row>
    <row r="102" spans="1:13" x14ac:dyDescent="0.25">
      <c r="A102" s="4" t="s">
        <v>36</v>
      </c>
      <c r="B102" s="32">
        <f t="shared" ref="B102:K102" si="70">$C4*B89</f>
        <v>5424291.8557658447</v>
      </c>
      <c r="C102" s="32">
        <f t="shared" si="70"/>
        <v>5424291.8557658447</v>
      </c>
      <c r="D102" s="32">
        <f t="shared" si="70"/>
        <v>5424291.8557658447</v>
      </c>
      <c r="E102" s="32">
        <f t="shared" si="70"/>
        <v>5424291.8557658447</v>
      </c>
      <c r="F102" s="32">
        <f t="shared" si="70"/>
        <v>5424291.8557658447</v>
      </c>
      <c r="G102" s="32">
        <f t="shared" si="70"/>
        <v>5424291.8557658447</v>
      </c>
      <c r="H102" s="32">
        <f t="shared" si="70"/>
        <v>5424291.8557658447</v>
      </c>
      <c r="I102" s="32">
        <f t="shared" si="70"/>
        <v>5424291.8557658447</v>
      </c>
      <c r="J102" s="32">
        <f t="shared" si="70"/>
        <v>5424291.8557658447</v>
      </c>
      <c r="K102" s="32">
        <f t="shared" si="70"/>
        <v>5424291.8557658447</v>
      </c>
      <c r="L102" s="5">
        <f t="shared" si="69"/>
        <v>5424291.8557658438</v>
      </c>
    </row>
    <row r="103" spans="1:13" x14ac:dyDescent="0.25">
      <c r="A103" s="4" t="s">
        <v>11</v>
      </c>
      <c r="B103" s="32">
        <f t="shared" ref="B103:K103" si="71">$C5*B90</f>
        <v>0</v>
      </c>
      <c r="C103" s="32">
        <f t="shared" si="71"/>
        <v>0</v>
      </c>
      <c r="D103" s="32">
        <f t="shared" si="71"/>
        <v>0</v>
      </c>
      <c r="E103" s="32">
        <f t="shared" si="71"/>
        <v>0</v>
      </c>
      <c r="F103" s="32">
        <f t="shared" si="71"/>
        <v>0</v>
      </c>
      <c r="G103" s="32">
        <f t="shared" si="71"/>
        <v>0</v>
      </c>
      <c r="H103" s="32">
        <f t="shared" si="71"/>
        <v>0</v>
      </c>
      <c r="I103" s="32">
        <f t="shared" si="71"/>
        <v>0</v>
      </c>
      <c r="J103" s="32">
        <f t="shared" si="71"/>
        <v>0</v>
      </c>
      <c r="K103" s="32">
        <f t="shared" si="71"/>
        <v>0</v>
      </c>
      <c r="L103" s="5">
        <f t="shared" si="69"/>
        <v>0</v>
      </c>
    </row>
    <row r="104" spans="1:13" x14ac:dyDescent="0.25">
      <c r="A104" s="4" t="s">
        <v>124</v>
      </c>
      <c r="B104" s="32">
        <f t="shared" ref="B104:K104" si="72">$C6*B91</f>
        <v>5062017.417942144</v>
      </c>
      <c r="C104" s="32">
        <f t="shared" si="72"/>
        <v>5062017.417942144</v>
      </c>
      <c r="D104" s="32">
        <f t="shared" si="72"/>
        <v>5062017.417942144</v>
      </c>
      <c r="E104" s="32">
        <f t="shared" si="72"/>
        <v>5062017.417942144</v>
      </c>
      <c r="F104" s="32">
        <f t="shared" si="72"/>
        <v>5062017.417942144</v>
      </c>
      <c r="G104" s="32">
        <f t="shared" si="72"/>
        <v>5062017.417942144</v>
      </c>
      <c r="H104" s="32">
        <f t="shared" si="72"/>
        <v>5062017.417942144</v>
      </c>
      <c r="I104" s="32">
        <f t="shared" si="72"/>
        <v>5062017.417942144</v>
      </c>
      <c r="J104" s="32">
        <f t="shared" si="72"/>
        <v>5062017.417942144</v>
      </c>
      <c r="K104" s="32">
        <f t="shared" si="72"/>
        <v>5062017.417942144</v>
      </c>
      <c r="L104" s="5">
        <f t="shared" si="69"/>
        <v>5062017.417942144</v>
      </c>
    </row>
    <row r="105" spans="1:13" x14ac:dyDescent="0.25">
      <c r="A105" s="4" t="s">
        <v>12</v>
      </c>
      <c r="B105" s="32">
        <f t="shared" ref="B105:K105" si="73">$C7*B92</f>
        <v>29452214.264679439</v>
      </c>
      <c r="C105" s="32">
        <f t="shared" si="73"/>
        <v>29452214.264679439</v>
      </c>
      <c r="D105" s="32">
        <f t="shared" si="73"/>
        <v>29452214.264679439</v>
      </c>
      <c r="E105" s="32">
        <f t="shared" si="73"/>
        <v>29452214.264679439</v>
      </c>
      <c r="F105" s="32">
        <f t="shared" si="73"/>
        <v>29452214.264679439</v>
      </c>
      <c r="G105" s="32">
        <f t="shared" si="73"/>
        <v>29452214.264679439</v>
      </c>
      <c r="H105" s="32">
        <f t="shared" si="73"/>
        <v>29452214.264679439</v>
      </c>
      <c r="I105" s="32">
        <f t="shared" si="73"/>
        <v>29452214.264679439</v>
      </c>
      <c r="J105" s="32">
        <f t="shared" si="73"/>
        <v>29452214.264679439</v>
      </c>
      <c r="K105" s="32">
        <f t="shared" si="73"/>
        <v>29452214.264679439</v>
      </c>
      <c r="L105" s="5">
        <f t="shared" si="69"/>
        <v>29452214.264679439</v>
      </c>
    </row>
    <row r="106" spans="1:13" x14ac:dyDescent="0.25">
      <c r="A106" s="4" t="s">
        <v>13</v>
      </c>
      <c r="B106" s="32">
        <f t="shared" ref="B106:K106" si="74">$C8*B93</f>
        <v>0</v>
      </c>
      <c r="C106" s="32">
        <f t="shared" si="74"/>
        <v>0</v>
      </c>
      <c r="D106" s="32">
        <f t="shared" si="74"/>
        <v>0</v>
      </c>
      <c r="E106" s="32">
        <f t="shared" si="74"/>
        <v>0</v>
      </c>
      <c r="F106" s="32">
        <f t="shared" si="74"/>
        <v>0</v>
      </c>
      <c r="G106" s="32">
        <f t="shared" si="74"/>
        <v>0</v>
      </c>
      <c r="H106" s="32">
        <f t="shared" si="74"/>
        <v>0</v>
      </c>
      <c r="I106" s="32">
        <f t="shared" si="74"/>
        <v>0</v>
      </c>
      <c r="J106" s="32">
        <f t="shared" si="74"/>
        <v>0</v>
      </c>
      <c r="K106" s="32">
        <f t="shared" si="74"/>
        <v>0</v>
      </c>
      <c r="L106" s="5">
        <f t="shared" si="69"/>
        <v>0</v>
      </c>
    </row>
    <row r="107" spans="1:13" x14ac:dyDescent="0.25">
      <c r="A107" s="4" t="s">
        <v>14</v>
      </c>
      <c r="B107" s="32">
        <f t="shared" ref="B107:K107" si="75">$C9*B94</f>
        <v>0</v>
      </c>
      <c r="C107" s="32">
        <f t="shared" si="75"/>
        <v>0</v>
      </c>
      <c r="D107" s="32">
        <f t="shared" si="75"/>
        <v>0</v>
      </c>
      <c r="E107" s="32">
        <f t="shared" si="75"/>
        <v>0</v>
      </c>
      <c r="F107" s="32">
        <f t="shared" si="75"/>
        <v>0</v>
      </c>
      <c r="G107" s="32">
        <f t="shared" si="75"/>
        <v>0</v>
      </c>
      <c r="H107" s="32">
        <f t="shared" si="75"/>
        <v>0</v>
      </c>
      <c r="I107" s="32">
        <f t="shared" si="75"/>
        <v>0</v>
      </c>
      <c r="J107" s="32">
        <f t="shared" si="75"/>
        <v>0</v>
      </c>
      <c r="K107" s="32">
        <f t="shared" si="75"/>
        <v>0</v>
      </c>
      <c r="L107" s="5">
        <f t="shared" si="69"/>
        <v>0</v>
      </c>
    </row>
    <row r="108" spans="1:13" x14ac:dyDescent="0.25">
      <c r="A108" s="4" t="s">
        <v>125</v>
      </c>
      <c r="B108" s="32">
        <f t="shared" ref="B108:K108" si="76">$C10*B95</f>
        <v>0</v>
      </c>
      <c r="C108" s="32">
        <f t="shared" si="76"/>
        <v>0</v>
      </c>
      <c r="D108" s="32">
        <f t="shared" si="76"/>
        <v>0</v>
      </c>
      <c r="E108" s="32">
        <f t="shared" si="76"/>
        <v>0</v>
      </c>
      <c r="F108" s="32">
        <f t="shared" si="76"/>
        <v>0</v>
      </c>
      <c r="G108" s="32">
        <f t="shared" si="76"/>
        <v>0</v>
      </c>
      <c r="H108" s="32">
        <f t="shared" si="76"/>
        <v>0</v>
      </c>
      <c r="I108" s="32">
        <f t="shared" si="76"/>
        <v>0</v>
      </c>
      <c r="J108" s="32">
        <f t="shared" si="76"/>
        <v>0</v>
      </c>
      <c r="K108" s="32">
        <f t="shared" si="76"/>
        <v>0</v>
      </c>
      <c r="L108" s="5">
        <f t="shared" si="69"/>
        <v>0</v>
      </c>
    </row>
    <row r="109" spans="1:13" x14ac:dyDescent="0.25">
      <c r="A109" s="4" t="s">
        <v>37</v>
      </c>
      <c r="B109" s="32">
        <f t="shared" ref="B109:K109" si="77">$C11*B96</f>
        <v>31747599.409519795</v>
      </c>
      <c r="C109" s="32">
        <f t="shared" si="77"/>
        <v>31747599.409519795</v>
      </c>
      <c r="D109" s="32">
        <f t="shared" si="77"/>
        <v>31747599.409519795</v>
      </c>
      <c r="E109" s="32">
        <f t="shared" si="77"/>
        <v>31747599.409519795</v>
      </c>
      <c r="F109" s="32">
        <f t="shared" si="77"/>
        <v>31747599.409519795</v>
      </c>
      <c r="G109" s="32">
        <f t="shared" si="77"/>
        <v>31747599.409519795</v>
      </c>
      <c r="H109" s="32">
        <f t="shared" si="77"/>
        <v>31747599.409519795</v>
      </c>
      <c r="I109" s="32">
        <f t="shared" si="77"/>
        <v>31747599.409519795</v>
      </c>
      <c r="J109" s="32">
        <f t="shared" si="77"/>
        <v>31747599.409519795</v>
      </c>
      <c r="K109" s="32">
        <f t="shared" si="77"/>
        <v>31747599.409519795</v>
      </c>
      <c r="L109" s="5">
        <f t="shared" si="69"/>
        <v>31747599.409519799</v>
      </c>
    </row>
    <row r="110" spans="1:13" x14ac:dyDescent="0.25">
      <c r="A110" s="4" t="s">
        <v>38</v>
      </c>
      <c r="B110" s="32">
        <f t="shared" ref="B110:K110" si="78">$C12*B97</f>
        <v>6581777.2667037519</v>
      </c>
      <c r="C110" s="32">
        <f t="shared" si="78"/>
        <v>6581777.2667037519</v>
      </c>
      <c r="D110" s="32">
        <f t="shared" si="78"/>
        <v>6581777.2667037519</v>
      </c>
      <c r="E110" s="32">
        <f t="shared" si="78"/>
        <v>6581777.2667037519</v>
      </c>
      <c r="F110" s="32">
        <f t="shared" si="78"/>
        <v>6581777.2667037519</v>
      </c>
      <c r="G110" s="32">
        <f t="shared" si="78"/>
        <v>6581777.2667037519</v>
      </c>
      <c r="H110" s="32">
        <f t="shared" si="78"/>
        <v>6581777.2667037519</v>
      </c>
      <c r="I110" s="32">
        <f t="shared" si="78"/>
        <v>6581777.2667037519</v>
      </c>
      <c r="J110" s="32">
        <f t="shared" si="78"/>
        <v>6581777.2667037519</v>
      </c>
      <c r="K110" s="32">
        <f t="shared" si="78"/>
        <v>6581777.2667037519</v>
      </c>
      <c r="L110" s="5">
        <f t="shared" si="69"/>
        <v>6581777.2667037528</v>
      </c>
    </row>
    <row r="111" spans="1:13" x14ac:dyDescent="0.25">
      <c r="A111" s="4" t="s">
        <v>15</v>
      </c>
      <c r="B111" s="13">
        <f t="shared" ref="B111:K111" si="79">$C13*B98</f>
        <v>40414846.561435595</v>
      </c>
      <c r="C111" s="13">
        <f t="shared" si="79"/>
        <v>40414846.561435595</v>
      </c>
      <c r="D111" s="13">
        <f t="shared" si="79"/>
        <v>40414846.561435595</v>
      </c>
      <c r="E111" s="13">
        <f t="shared" si="79"/>
        <v>40414846.561435595</v>
      </c>
      <c r="F111" s="13">
        <f t="shared" si="79"/>
        <v>40414846.561435595</v>
      </c>
      <c r="G111" s="13">
        <f t="shared" si="79"/>
        <v>40414846.561435595</v>
      </c>
      <c r="H111" s="13">
        <f t="shared" si="79"/>
        <v>40414846.561435595</v>
      </c>
      <c r="I111" s="13">
        <f t="shared" si="79"/>
        <v>40414846.561435595</v>
      </c>
      <c r="J111" s="13">
        <f t="shared" si="79"/>
        <v>40414846.561435595</v>
      </c>
      <c r="K111" s="13">
        <f t="shared" si="79"/>
        <v>40414846.561435595</v>
      </c>
      <c r="L111" s="13">
        <f t="shared" si="69"/>
        <v>40414846.561435588</v>
      </c>
    </row>
    <row r="112" spans="1:13" x14ac:dyDescent="0.25">
      <c r="B112" s="5">
        <f t="shared" ref="B112:K112" si="80">SUM(B101:B111)</f>
        <v>132038000.00000003</v>
      </c>
      <c r="C112" s="5">
        <f t="shared" si="80"/>
        <v>132038000.00000003</v>
      </c>
      <c r="D112" s="5">
        <f t="shared" si="80"/>
        <v>132038000.00000003</v>
      </c>
      <c r="E112" s="5">
        <f t="shared" si="80"/>
        <v>132038000.00000003</v>
      </c>
      <c r="F112" s="5">
        <f t="shared" si="80"/>
        <v>132038000.00000003</v>
      </c>
      <c r="G112" s="5">
        <f t="shared" si="80"/>
        <v>132038000.00000003</v>
      </c>
      <c r="H112" s="5">
        <f t="shared" si="80"/>
        <v>132038000.00000003</v>
      </c>
      <c r="I112" s="5">
        <f t="shared" si="80"/>
        <v>132038000.00000003</v>
      </c>
      <c r="J112" s="5">
        <f t="shared" si="80"/>
        <v>132038000.00000003</v>
      </c>
      <c r="K112" s="5">
        <f t="shared" si="80"/>
        <v>132038000.00000003</v>
      </c>
      <c r="L112" s="5">
        <f t="shared" si="69"/>
        <v>132038000.00000003</v>
      </c>
      <c r="M112" s="62">
        <f>B112-SUM($C$3:$C$13)</f>
        <v>0</v>
      </c>
    </row>
    <row r="114" spans="1:12" x14ac:dyDescent="0.25">
      <c r="A114" s="59" t="s">
        <v>56</v>
      </c>
      <c r="L114" s="12" t="s">
        <v>28</v>
      </c>
    </row>
    <row r="115" spans="1:12" x14ac:dyDescent="0.25">
      <c r="A115" s="4" t="s">
        <v>35</v>
      </c>
      <c r="B115" s="14">
        <f>B101*B88*'Data inputs'!$B14</f>
        <v>10283544.982444165</v>
      </c>
      <c r="C115" s="14">
        <f>C101*C88*'Data inputs'!$B14</f>
        <v>10283544.982444165</v>
      </c>
      <c r="D115" s="14">
        <f>D101*D88*'Data inputs'!$B14</f>
        <v>10283544.982444165</v>
      </c>
      <c r="E115" s="14">
        <f>E101*E88*'Data inputs'!$B14</f>
        <v>10283544.982444165</v>
      </c>
      <c r="F115" s="14">
        <f>F101*F88*'Data inputs'!$B14</f>
        <v>10283544.982444165</v>
      </c>
      <c r="G115" s="14">
        <f>G101*G88*'Data inputs'!$B14</f>
        <v>10283544.982444165</v>
      </c>
      <c r="H115" s="14">
        <f>H101*H88*'Data inputs'!$B14</f>
        <v>10283544.982444165</v>
      </c>
      <c r="I115" s="14">
        <f>I101*I88*'Data inputs'!$B14</f>
        <v>10283544.982444165</v>
      </c>
      <c r="J115" s="14">
        <f>J101*J88*'Data inputs'!$B14</f>
        <v>10283544.982444165</v>
      </c>
      <c r="K115" s="14">
        <f>K101*K88*'Data inputs'!$B14</f>
        <v>10283544.982444165</v>
      </c>
      <c r="L115" s="5">
        <f t="shared" ref="L115:L126" si="81">AVERAGE(B115:K115)</f>
        <v>10283544.982444165</v>
      </c>
    </row>
    <row r="116" spans="1:12" x14ac:dyDescent="0.25">
      <c r="A116" s="4" t="s">
        <v>36</v>
      </c>
      <c r="B116" s="14">
        <f>B102*B89*'Data inputs'!$B15</f>
        <v>1627287.5567297537</v>
      </c>
      <c r="C116" s="14">
        <f>C102*C89*'Data inputs'!$B15</f>
        <v>1627287.5567297537</v>
      </c>
      <c r="D116" s="14">
        <f>D102*D89*'Data inputs'!$B15</f>
        <v>1627287.5567297537</v>
      </c>
      <c r="E116" s="14">
        <f>E102*E89*'Data inputs'!$B15</f>
        <v>1627287.5567297537</v>
      </c>
      <c r="F116" s="14">
        <f>F102*F89*'Data inputs'!$B15</f>
        <v>1627287.5567297537</v>
      </c>
      <c r="G116" s="14">
        <f>G102*G89*'Data inputs'!$B15</f>
        <v>1627287.5567297537</v>
      </c>
      <c r="H116" s="14">
        <f>H102*H89*'Data inputs'!$B15</f>
        <v>1627287.5567297537</v>
      </c>
      <c r="I116" s="14">
        <f>I102*I89*'Data inputs'!$B15</f>
        <v>1627287.5567297537</v>
      </c>
      <c r="J116" s="14">
        <f>J102*J89*'Data inputs'!$B15</f>
        <v>1627287.5567297537</v>
      </c>
      <c r="K116" s="14">
        <f>K102*K89*'Data inputs'!$B15</f>
        <v>1627287.5567297537</v>
      </c>
      <c r="L116" s="5">
        <f t="shared" si="81"/>
        <v>1627287.556729754</v>
      </c>
    </row>
    <row r="117" spans="1:12" x14ac:dyDescent="0.25">
      <c r="A117" s="4" t="s">
        <v>11</v>
      </c>
      <c r="B117" s="14">
        <f>B103*B90*'Data inputs'!$B16</f>
        <v>0</v>
      </c>
      <c r="C117" s="14">
        <f>C103*C90*'Data inputs'!$B16</f>
        <v>0</v>
      </c>
      <c r="D117" s="14">
        <f>D103*D90*'Data inputs'!$B16</f>
        <v>0</v>
      </c>
      <c r="E117" s="14">
        <f>E103*E90*'Data inputs'!$B16</f>
        <v>0</v>
      </c>
      <c r="F117" s="14">
        <f>F103*F90*'Data inputs'!$B16</f>
        <v>0</v>
      </c>
      <c r="G117" s="14">
        <f>G103*G90*'Data inputs'!$B16</f>
        <v>0</v>
      </c>
      <c r="H117" s="14">
        <f>H103*H90*'Data inputs'!$B16</f>
        <v>0</v>
      </c>
      <c r="I117" s="14">
        <f>I103*I90*'Data inputs'!$B16</f>
        <v>0</v>
      </c>
      <c r="J117" s="14">
        <f>J103*J90*'Data inputs'!$B16</f>
        <v>0</v>
      </c>
      <c r="K117" s="14">
        <f>K103*K90*'Data inputs'!$B16</f>
        <v>0</v>
      </c>
      <c r="L117" s="5">
        <f t="shared" si="81"/>
        <v>0</v>
      </c>
    </row>
    <row r="118" spans="1:12" x14ac:dyDescent="0.25">
      <c r="A118" s="4" t="s">
        <v>124</v>
      </c>
      <c r="B118" s="14">
        <f>B104*B91*'Data inputs'!$B17</f>
        <v>4049613.9343537148</v>
      </c>
      <c r="C118" s="14">
        <f>C104*C91*'Data inputs'!$B17</f>
        <v>4049613.9343537148</v>
      </c>
      <c r="D118" s="14">
        <f>D104*D91*'Data inputs'!$B17</f>
        <v>4049613.9343537148</v>
      </c>
      <c r="E118" s="14">
        <f>E104*E91*'Data inputs'!$B17</f>
        <v>4049613.9343537148</v>
      </c>
      <c r="F118" s="14">
        <f>F104*F91*'Data inputs'!$B17</f>
        <v>4049613.9343537148</v>
      </c>
      <c r="G118" s="14">
        <f>G104*G91*'Data inputs'!$B17</f>
        <v>4049613.9343537148</v>
      </c>
      <c r="H118" s="14">
        <f>H104*H91*'Data inputs'!$B17</f>
        <v>4049613.9343537148</v>
      </c>
      <c r="I118" s="14">
        <f>I104*I91*'Data inputs'!$B17</f>
        <v>4049613.9343537148</v>
      </c>
      <c r="J118" s="14">
        <f>J104*J91*'Data inputs'!$B17</f>
        <v>4049613.9343537148</v>
      </c>
      <c r="K118" s="14">
        <f>K104*K91*'Data inputs'!$B17</f>
        <v>4049613.9343537148</v>
      </c>
      <c r="L118" s="5">
        <f t="shared" si="81"/>
        <v>4049613.9343537157</v>
      </c>
    </row>
    <row r="119" spans="1:12" x14ac:dyDescent="0.25">
      <c r="A119" s="4" t="s">
        <v>12</v>
      </c>
      <c r="B119" s="14">
        <f>B105*B92*'Data inputs'!$B18</f>
        <v>2945221.4264679439</v>
      </c>
      <c r="C119" s="14">
        <f>C105*C92*'Data inputs'!$B18</f>
        <v>2945221.4264679439</v>
      </c>
      <c r="D119" s="14">
        <f>D105*D92*'Data inputs'!$B18</f>
        <v>2945221.4264679439</v>
      </c>
      <c r="E119" s="14">
        <f>E105*E92*'Data inputs'!$B18</f>
        <v>2945221.4264679439</v>
      </c>
      <c r="F119" s="14">
        <f>F105*F92*'Data inputs'!$B18</f>
        <v>2945221.4264679439</v>
      </c>
      <c r="G119" s="14">
        <f>G105*G92*'Data inputs'!$B18</f>
        <v>2945221.4264679439</v>
      </c>
      <c r="H119" s="14">
        <f>H105*H92*'Data inputs'!$B18</f>
        <v>2945221.4264679439</v>
      </c>
      <c r="I119" s="14">
        <f>I105*I92*'Data inputs'!$B18</f>
        <v>2945221.4264679439</v>
      </c>
      <c r="J119" s="14">
        <f>J105*J92*'Data inputs'!$B18</f>
        <v>2945221.4264679439</v>
      </c>
      <c r="K119" s="14">
        <f>K105*K92*'Data inputs'!$B18</f>
        <v>2945221.4264679439</v>
      </c>
      <c r="L119" s="5">
        <f t="shared" si="81"/>
        <v>2945221.4264679439</v>
      </c>
    </row>
    <row r="120" spans="1:12" x14ac:dyDescent="0.25">
      <c r="A120" s="4" t="s">
        <v>13</v>
      </c>
      <c r="B120" s="14">
        <f>B106*B93*'Data inputs'!$B19</f>
        <v>0</v>
      </c>
      <c r="C120" s="14">
        <f>C106*C93*'Data inputs'!$B19</f>
        <v>0</v>
      </c>
      <c r="D120" s="14">
        <f>D106*D93*'Data inputs'!$B19</f>
        <v>0</v>
      </c>
      <c r="E120" s="14">
        <f>E106*E93*'Data inputs'!$B19</f>
        <v>0</v>
      </c>
      <c r="F120" s="14">
        <f>F106*F93*'Data inputs'!$B19</f>
        <v>0</v>
      </c>
      <c r="G120" s="14">
        <f>G106*G93*'Data inputs'!$B19</f>
        <v>0</v>
      </c>
      <c r="H120" s="14">
        <f>H106*H93*'Data inputs'!$B19</f>
        <v>0</v>
      </c>
      <c r="I120" s="14">
        <f>I106*I93*'Data inputs'!$B19</f>
        <v>0</v>
      </c>
      <c r="J120" s="14">
        <f>J106*J93*'Data inputs'!$B19</f>
        <v>0</v>
      </c>
      <c r="K120" s="14">
        <f>K106*K93*'Data inputs'!$B19</f>
        <v>0</v>
      </c>
      <c r="L120" s="5">
        <f t="shared" si="81"/>
        <v>0</v>
      </c>
    </row>
    <row r="121" spans="1:12" x14ac:dyDescent="0.25">
      <c r="A121" s="4" t="s">
        <v>14</v>
      </c>
      <c r="B121" s="14">
        <f>B107*B94*'Data inputs'!$B20</f>
        <v>0</v>
      </c>
      <c r="C121" s="14">
        <f>C107*C94*'Data inputs'!$B20</f>
        <v>0</v>
      </c>
      <c r="D121" s="14">
        <f>D107*D94*'Data inputs'!$B20</f>
        <v>0</v>
      </c>
      <c r="E121" s="14">
        <f>E107*E94*'Data inputs'!$B20</f>
        <v>0</v>
      </c>
      <c r="F121" s="14">
        <f>F107*F94*'Data inputs'!$B20</f>
        <v>0</v>
      </c>
      <c r="G121" s="14">
        <f>G107*G94*'Data inputs'!$B20</f>
        <v>0</v>
      </c>
      <c r="H121" s="14">
        <f>H107*H94*'Data inputs'!$B20</f>
        <v>0</v>
      </c>
      <c r="I121" s="14">
        <f>I107*I94*'Data inputs'!$B20</f>
        <v>0</v>
      </c>
      <c r="J121" s="14">
        <f>J107*J94*'Data inputs'!$B20</f>
        <v>0</v>
      </c>
      <c r="K121" s="14">
        <f>K107*K94*'Data inputs'!$B20</f>
        <v>0</v>
      </c>
      <c r="L121" s="5">
        <f t="shared" si="81"/>
        <v>0</v>
      </c>
    </row>
    <row r="122" spans="1:12" x14ac:dyDescent="0.25">
      <c r="A122" s="4" t="s">
        <v>125</v>
      </c>
      <c r="B122" s="14">
        <f>B108*B95*'Data inputs'!$B21</f>
        <v>0</v>
      </c>
      <c r="C122" s="14">
        <f>C108*C95*'Data inputs'!$B21</f>
        <v>0</v>
      </c>
      <c r="D122" s="14">
        <f>D108*D95*'Data inputs'!$B21</f>
        <v>0</v>
      </c>
      <c r="E122" s="14">
        <f>E108*E95*'Data inputs'!$B21</f>
        <v>0</v>
      </c>
      <c r="F122" s="14">
        <f>F108*F95*'Data inputs'!$B21</f>
        <v>0</v>
      </c>
      <c r="G122" s="14">
        <f>G108*G95*'Data inputs'!$B21</f>
        <v>0</v>
      </c>
      <c r="H122" s="14">
        <f>H108*H95*'Data inputs'!$B21</f>
        <v>0</v>
      </c>
      <c r="I122" s="14">
        <f>I108*I95*'Data inputs'!$B21</f>
        <v>0</v>
      </c>
      <c r="J122" s="14">
        <f>J108*J95*'Data inputs'!$B21</f>
        <v>0</v>
      </c>
      <c r="K122" s="14">
        <f>K108*K95*'Data inputs'!$B21</f>
        <v>0</v>
      </c>
      <c r="L122" s="5">
        <f t="shared" si="81"/>
        <v>0</v>
      </c>
    </row>
    <row r="123" spans="1:12" x14ac:dyDescent="0.25">
      <c r="A123" s="4" t="s">
        <v>37</v>
      </c>
      <c r="B123" s="14">
        <f>B109*B96*'Data inputs'!$B22</f>
        <v>20000987.627997473</v>
      </c>
      <c r="C123" s="14">
        <f>C109*C96*'Data inputs'!$B22</f>
        <v>20000987.627997473</v>
      </c>
      <c r="D123" s="14">
        <f>D109*D96*'Data inputs'!$B22</f>
        <v>20000987.627997473</v>
      </c>
      <c r="E123" s="14">
        <f>E109*E96*'Data inputs'!$B22</f>
        <v>20000987.627997473</v>
      </c>
      <c r="F123" s="14">
        <f>F109*F96*'Data inputs'!$B22</f>
        <v>20000987.627997473</v>
      </c>
      <c r="G123" s="14">
        <f>G109*G96*'Data inputs'!$B22</f>
        <v>20000987.627997473</v>
      </c>
      <c r="H123" s="14">
        <f>H109*H96*'Data inputs'!$B22</f>
        <v>20000987.627997473</v>
      </c>
      <c r="I123" s="14">
        <f>I109*I96*'Data inputs'!$B22</f>
        <v>20000987.627997473</v>
      </c>
      <c r="J123" s="14">
        <f>J109*J96*'Data inputs'!$B22</f>
        <v>20000987.627997473</v>
      </c>
      <c r="K123" s="14">
        <f>K109*K96*'Data inputs'!$B22</f>
        <v>20000987.627997473</v>
      </c>
      <c r="L123" s="5">
        <f t="shared" si="81"/>
        <v>20000987.627997469</v>
      </c>
    </row>
    <row r="124" spans="1:12" x14ac:dyDescent="0.25">
      <c r="A124" s="4" t="s">
        <v>38</v>
      </c>
      <c r="B124" s="14">
        <f>B110*B97*'Data inputs'!$B23</f>
        <v>658177.72667037521</v>
      </c>
      <c r="C124" s="14">
        <f>C110*C97*'Data inputs'!$B23</f>
        <v>658177.72667037521</v>
      </c>
      <c r="D124" s="14">
        <f>D110*D97*'Data inputs'!$B23</f>
        <v>658177.72667037521</v>
      </c>
      <c r="E124" s="14">
        <f>E110*E97*'Data inputs'!$B23</f>
        <v>658177.72667037521</v>
      </c>
      <c r="F124" s="14">
        <f>F110*F97*'Data inputs'!$B23</f>
        <v>658177.72667037521</v>
      </c>
      <c r="G124" s="14">
        <f>G110*G97*'Data inputs'!$B23</f>
        <v>658177.72667037521</v>
      </c>
      <c r="H124" s="14">
        <f>H110*H97*'Data inputs'!$B23</f>
        <v>658177.72667037521</v>
      </c>
      <c r="I124" s="14">
        <f>I110*I97*'Data inputs'!$B23</f>
        <v>658177.72667037521</v>
      </c>
      <c r="J124" s="14">
        <f>J110*J97*'Data inputs'!$B23</f>
        <v>658177.72667037521</v>
      </c>
      <c r="K124" s="14">
        <f>K110*K97*'Data inputs'!$B23</f>
        <v>658177.72667037521</v>
      </c>
      <c r="L124" s="5">
        <f t="shared" si="81"/>
        <v>658177.72667037521</v>
      </c>
    </row>
    <row r="125" spans="1:12" x14ac:dyDescent="0.25">
      <c r="A125" s="4" t="s">
        <v>15</v>
      </c>
      <c r="B125" s="60">
        <f>B111*B98*'Data inputs'!$B24</f>
        <v>16165938.624574238</v>
      </c>
      <c r="C125" s="60">
        <f>C111*C98*'Data inputs'!$B24</f>
        <v>16165938.624574238</v>
      </c>
      <c r="D125" s="60">
        <f>D111*D98*'Data inputs'!$B24</f>
        <v>16165938.624574238</v>
      </c>
      <c r="E125" s="60">
        <f>E111*E98*'Data inputs'!$B24</f>
        <v>16165938.624574238</v>
      </c>
      <c r="F125" s="60">
        <f>F111*F98*'Data inputs'!$B24</f>
        <v>16165938.624574238</v>
      </c>
      <c r="G125" s="60">
        <f>G111*G98*'Data inputs'!$B24</f>
        <v>16165938.624574238</v>
      </c>
      <c r="H125" s="60">
        <f>H111*H98*'Data inputs'!$B24</f>
        <v>16165938.624574238</v>
      </c>
      <c r="I125" s="60">
        <f>I111*I98*'Data inputs'!$B24</f>
        <v>16165938.624574238</v>
      </c>
      <c r="J125" s="60">
        <f>J111*J98*'Data inputs'!$B24</f>
        <v>16165938.624574238</v>
      </c>
      <c r="K125" s="60">
        <f>K111*K98*'Data inputs'!$B24</f>
        <v>16165938.624574238</v>
      </c>
      <c r="L125" s="13">
        <f t="shared" si="81"/>
        <v>16165938.62457424</v>
      </c>
    </row>
    <row r="126" spans="1:12" x14ac:dyDescent="0.25">
      <c r="B126" s="14">
        <f>SUM(B115:B125)</f>
        <v>55730771.879237667</v>
      </c>
      <c r="C126" s="14">
        <f t="shared" ref="C126" si="82">SUM(C115:C125)</f>
        <v>55730771.879237667</v>
      </c>
      <c r="D126" s="14">
        <f t="shared" ref="D126" si="83">SUM(D115:D125)</f>
        <v>55730771.879237667</v>
      </c>
      <c r="E126" s="14">
        <f t="shared" ref="E126" si="84">SUM(E115:E125)</f>
        <v>55730771.879237667</v>
      </c>
      <c r="F126" s="14">
        <f t="shared" ref="F126" si="85">SUM(F115:F125)</f>
        <v>55730771.879237667</v>
      </c>
      <c r="G126" s="14">
        <f t="shared" ref="G126" si="86">SUM(G115:G125)</f>
        <v>55730771.879237667</v>
      </c>
      <c r="H126" s="14">
        <f t="shared" ref="H126" si="87">SUM(H115:H125)</f>
        <v>55730771.879237667</v>
      </c>
      <c r="I126" s="14">
        <f t="shared" ref="I126" si="88">SUM(I115:I125)</f>
        <v>55730771.879237667</v>
      </c>
      <c r="J126" s="14">
        <f t="shared" ref="J126" si="89">SUM(J115:J125)</f>
        <v>55730771.879237667</v>
      </c>
      <c r="K126" s="14">
        <f t="shared" ref="K126" si="90">SUM(K115:K125)</f>
        <v>55730771.879237667</v>
      </c>
      <c r="L126" s="5">
        <f t="shared" si="81"/>
        <v>55730771.879237667</v>
      </c>
    </row>
    <row r="127" spans="1:12" x14ac:dyDescent="0.25">
      <c r="B127" s="16">
        <f>B126/B$112</f>
        <v>0.42208130901132745</v>
      </c>
      <c r="C127" s="16">
        <f t="shared" ref="C127:K127" si="91">C126/C$112</f>
        <v>0.42208130901132745</v>
      </c>
      <c r="D127" s="16">
        <f t="shared" si="91"/>
        <v>0.42208130901132745</v>
      </c>
      <c r="E127" s="16">
        <f t="shared" si="91"/>
        <v>0.42208130901132745</v>
      </c>
      <c r="F127" s="16">
        <f t="shared" si="91"/>
        <v>0.42208130901132745</v>
      </c>
      <c r="G127" s="16">
        <f t="shared" si="91"/>
        <v>0.42208130901132745</v>
      </c>
      <c r="H127" s="16">
        <f t="shared" si="91"/>
        <v>0.42208130901132745</v>
      </c>
      <c r="I127" s="16">
        <f t="shared" si="91"/>
        <v>0.42208130901132745</v>
      </c>
      <c r="J127" s="16">
        <f t="shared" si="91"/>
        <v>0.42208130901132745</v>
      </c>
      <c r="K127" s="16">
        <f t="shared" si="91"/>
        <v>0.42208130901132745</v>
      </c>
    </row>
    <row r="128" spans="1:12" x14ac:dyDescent="0.25">
      <c r="B128" s="16"/>
      <c r="C128" s="16"/>
      <c r="D128" s="16"/>
      <c r="E128" s="16"/>
      <c r="F128" s="16"/>
      <c r="G128" s="16"/>
      <c r="H128" s="16"/>
      <c r="I128" s="16"/>
      <c r="J128" s="16"/>
      <c r="K128" s="16"/>
    </row>
    <row r="129" spans="1:12" x14ac:dyDescent="0.25">
      <c r="A129" s="59" t="s">
        <v>57</v>
      </c>
      <c r="L129" s="12" t="s">
        <v>28</v>
      </c>
    </row>
    <row r="130" spans="1:12" x14ac:dyDescent="0.25">
      <c r="A130" s="4" t="s">
        <v>35</v>
      </c>
      <c r="B130" s="14">
        <f>B101*B88*'Data inputs'!$C14</f>
        <v>7612494.337653474</v>
      </c>
      <c r="C130" s="14">
        <f>C101*C88*'Data inputs'!$C14</f>
        <v>7612494.337653474</v>
      </c>
      <c r="D130" s="14">
        <f>D101*D88*'Data inputs'!$C14</f>
        <v>7612494.337653474</v>
      </c>
      <c r="E130" s="14">
        <f>E101*E88*'Data inputs'!$C14</f>
        <v>7612494.337653474</v>
      </c>
      <c r="F130" s="14">
        <f>F101*F88*'Data inputs'!$C14</f>
        <v>7612494.337653474</v>
      </c>
      <c r="G130" s="14">
        <f>G101*G88*'Data inputs'!$C14</f>
        <v>7612494.337653474</v>
      </c>
      <c r="H130" s="14">
        <f>H101*H88*'Data inputs'!$C14</f>
        <v>7612494.337653474</v>
      </c>
      <c r="I130" s="14">
        <f>I101*I88*'Data inputs'!$C14</f>
        <v>7612494.337653474</v>
      </c>
      <c r="J130" s="14">
        <f>J101*J88*'Data inputs'!$C14</f>
        <v>7612494.337653474</v>
      </c>
      <c r="K130" s="14">
        <f>K101*K88*'Data inputs'!$C14</f>
        <v>7612494.337653474</v>
      </c>
      <c r="L130" s="5">
        <f t="shared" ref="L130:L141" si="92">AVERAGE(B130:K130)</f>
        <v>7612494.3376534749</v>
      </c>
    </row>
    <row r="131" spans="1:12" x14ac:dyDescent="0.25">
      <c r="A131" s="4" t="s">
        <v>36</v>
      </c>
      <c r="B131" s="14">
        <f>B102*B89*'Data inputs'!$C15</f>
        <v>542429.18557658454</v>
      </c>
      <c r="C131" s="14">
        <f>C102*C89*'Data inputs'!$C15</f>
        <v>542429.18557658454</v>
      </c>
      <c r="D131" s="14">
        <f>D102*D89*'Data inputs'!$C15</f>
        <v>542429.18557658454</v>
      </c>
      <c r="E131" s="14">
        <f>E102*E89*'Data inputs'!$C15</f>
        <v>542429.18557658454</v>
      </c>
      <c r="F131" s="14">
        <f>F102*F89*'Data inputs'!$C15</f>
        <v>542429.18557658454</v>
      </c>
      <c r="G131" s="14">
        <f>G102*G89*'Data inputs'!$C15</f>
        <v>542429.18557658454</v>
      </c>
      <c r="H131" s="14">
        <f>H102*H89*'Data inputs'!$C15</f>
        <v>542429.18557658454</v>
      </c>
      <c r="I131" s="14">
        <f>I102*I89*'Data inputs'!$C15</f>
        <v>542429.18557658454</v>
      </c>
      <c r="J131" s="14">
        <f>J102*J89*'Data inputs'!$C15</f>
        <v>542429.18557658454</v>
      </c>
      <c r="K131" s="14">
        <f>K102*K89*'Data inputs'!$C15</f>
        <v>542429.18557658454</v>
      </c>
      <c r="L131" s="5">
        <f t="shared" si="92"/>
        <v>542429.18557658442</v>
      </c>
    </row>
    <row r="132" spans="1:12" x14ac:dyDescent="0.25">
      <c r="A132" s="4" t="s">
        <v>11</v>
      </c>
      <c r="B132" s="14">
        <f>B103*B90*'Data inputs'!$C16</f>
        <v>0</v>
      </c>
      <c r="C132" s="14">
        <f>C103*C90*'Data inputs'!$C16</f>
        <v>0</v>
      </c>
      <c r="D132" s="14">
        <f>D103*D90*'Data inputs'!$C16</f>
        <v>0</v>
      </c>
      <c r="E132" s="14">
        <f>E103*E90*'Data inputs'!$C16</f>
        <v>0</v>
      </c>
      <c r="F132" s="14">
        <f>F103*F90*'Data inputs'!$C16</f>
        <v>0</v>
      </c>
      <c r="G132" s="14">
        <f>G103*G90*'Data inputs'!$C16</f>
        <v>0</v>
      </c>
      <c r="H132" s="14">
        <f>H103*H90*'Data inputs'!$C16</f>
        <v>0</v>
      </c>
      <c r="I132" s="14">
        <f>I103*I90*'Data inputs'!$C16</f>
        <v>0</v>
      </c>
      <c r="J132" s="14">
        <f>J103*J90*'Data inputs'!$C16</f>
        <v>0</v>
      </c>
      <c r="K132" s="14">
        <f>K103*K90*'Data inputs'!$C16</f>
        <v>0</v>
      </c>
      <c r="L132" s="5">
        <f t="shared" si="92"/>
        <v>0</v>
      </c>
    </row>
    <row r="133" spans="1:12" x14ac:dyDescent="0.25">
      <c r="A133" s="4" t="s">
        <v>124</v>
      </c>
      <c r="B133" s="14">
        <f>B104*B91*'Data inputs'!$C17</f>
        <v>3037210.4507652861</v>
      </c>
      <c r="C133" s="14">
        <f>C104*C91*'Data inputs'!$C17</f>
        <v>3037210.4507652861</v>
      </c>
      <c r="D133" s="14">
        <f>D104*D91*'Data inputs'!$C17</f>
        <v>3037210.4507652861</v>
      </c>
      <c r="E133" s="14">
        <f>E104*E91*'Data inputs'!$C17</f>
        <v>3037210.4507652861</v>
      </c>
      <c r="F133" s="14">
        <f>F104*F91*'Data inputs'!$C17</f>
        <v>3037210.4507652861</v>
      </c>
      <c r="G133" s="14">
        <f>G104*G91*'Data inputs'!$C17</f>
        <v>3037210.4507652861</v>
      </c>
      <c r="H133" s="14">
        <f>H104*H91*'Data inputs'!$C17</f>
        <v>3037210.4507652861</v>
      </c>
      <c r="I133" s="14">
        <f>I104*I91*'Data inputs'!$C17</f>
        <v>3037210.4507652861</v>
      </c>
      <c r="J133" s="14">
        <f>J104*J91*'Data inputs'!$C17</f>
        <v>3037210.4507652861</v>
      </c>
      <c r="K133" s="14">
        <f>K104*K91*'Data inputs'!$C17</f>
        <v>3037210.4507652861</v>
      </c>
      <c r="L133" s="5">
        <f t="shared" si="92"/>
        <v>3037210.4507652861</v>
      </c>
    </row>
    <row r="134" spans="1:12" x14ac:dyDescent="0.25">
      <c r="A134" s="4" t="s">
        <v>12</v>
      </c>
      <c r="B134" s="14">
        <f>B105*B92*'Data inputs'!$C18</f>
        <v>0</v>
      </c>
      <c r="C134" s="14">
        <f>C105*C92*'Data inputs'!$C18</f>
        <v>0</v>
      </c>
      <c r="D134" s="14">
        <f>D105*D92*'Data inputs'!$C18</f>
        <v>0</v>
      </c>
      <c r="E134" s="14">
        <f>E105*E92*'Data inputs'!$C18</f>
        <v>0</v>
      </c>
      <c r="F134" s="14">
        <f>F105*F92*'Data inputs'!$C18</f>
        <v>0</v>
      </c>
      <c r="G134" s="14">
        <f>G105*G92*'Data inputs'!$C18</f>
        <v>0</v>
      </c>
      <c r="H134" s="14">
        <f>H105*H92*'Data inputs'!$C18</f>
        <v>0</v>
      </c>
      <c r="I134" s="14">
        <f>I105*I92*'Data inputs'!$C18</f>
        <v>0</v>
      </c>
      <c r="J134" s="14">
        <f>J105*J92*'Data inputs'!$C18</f>
        <v>0</v>
      </c>
      <c r="K134" s="14">
        <f>K105*K92*'Data inputs'!$C18</f>
        <v>0</v>
      </c>
      <c r="L134" s="5">
        <f t="shared" si="92"/>
        <v>0</v>
      </c>
    </row>
    <row r="135" spans="1:12" x14ac:dyDescent="0.25">
      <c r="A135" s="4" t="s">
        <v>13</v>
      </c>
      <c r="B135" s="14">
        <f>B106*B93*'Data inputs'!$C19</f>
        <v>0</v>
      </c>
      <c r="C135" s="14">
        <f>C106*C93*'Data inputs'!$C19</f>
        <v>0</v>
      </c>
      <c r="D135" s="14">
        <f>D106*D93*'Data inputs'!$C19</f>
        <v>0</v>
      </c>
      <c r="E135" s="14">
        <f>E106*E93*'Data inputs'!$C19</f>
        <v>0</v>
      </c>
      <c r="F135" s="14">
        <f>F106*F93*'Data inputs'!$C19</f>
        <v>0</v>
      </c>
      <c r="G135" s="14">
        <f>G106*G93*'Data inputs'!$C19</f>
        <v>0</v>
      </c>
      <c r="H135" s="14">
        <f>H106*H93*'Data inputs'!$C19</f>
        <v>0</v>
      </c>
      <c r="I135" s="14">
        <f>I106*I93*'Data inputs'!$C19</f>
        <v>0</v>
      </c>
      <c r="J135" s="14">
        <f>J106*J93*'Data inputs'!$C19</f>
        <v>0</v>
      </c>
      <c r="K135" s="14">
        <f>K106*K93*'Data inputs'!$C19</f>
        <v>0</v>
      </c>
      <c r="L135" s="5">
        <f t="shared" si="92"/>
        <v>0</v>
      </c>
    </row>
    <row r="136" spans="1:12" x14ac:dyDescent="0.25">
      <c r="A136" s="4" t="s">
        <v>14</v>
      </c>
      <c r="B136" s="14">
        <f>B107*B94*'Data inputs'!$C20</f>
        <v>0</v>
      </c>
      <c r="C136" s="14">
        <f>C107*C94*'Data inputs'!$C20</f>
        <v>0</v>
      </c>
      <c r="D136" s="14">
        <f>D107*D94*'Data inputs'!$C20</f>
        <v>0</v>
      </c>
      <c r="E136" s="14">
        <f>E107*E94*'Data inputs'!$C20</f>
        <v>0</v>
      </c>
      <c r="F136" s="14">
        <f>F107*F94*'Data inputs'!$C20</f>
        <v>0</v>
      </c>
      <c r="G136" s="14">
        <f>G107*G94*'Data inputs'!$C20</f>
        <v>0</v>
      </c>
      <c r="H136" s="14">
        <f>H107*H94*'Data inputs'!$C20</f>
        <v>0</v>
      </c>
      <c r="I136" s="14">
        <f>I107*I94*'Data inputs'!$C20</f>
        <v>0</v>
      </c>
      <c r="J136" s="14">
        <f>J107*J94*'Data inputs'!$C20</f>
        <v>0</v>
      </c>
      <c r="K136" s="14">
        <f>K107*K94*'Data inputs'!$C20</f>
        <v>0</v>
      </c>
      <c r="L136" s="5">
        <f t="shared" si="92"/>
        <v>0</v>
      </c>
    </row>
    <row r="137" spans="1:12" x14ac:dyDescent="0.25">
      <c r="A137" s="4" t="s">
        <v>125</v>
      </c>
      <c r="B137" s="14">
        <f>B108*B95*'Data inputs'!$C21</f>
        <v>0</v>
      </c>
      <c r="C137" s="14">
        <f>C108*C95*'Data inputs'!$C21</f>
        <v>0</v>
      </c>
      <c r="D137" s="14">
        <f>D108*D95*'Data inputs'!$C21</f>
        <v>0</v>
      </c>
      <c r="E137" s="14">
        <f>E108*E95*'Data inputs'!$C21</f>
        <v>0</v>
      </c>
      <c r="F137" s="14">
        <f>F108*F95*'Data inputs'!$C21</f>
        <v>0</v>
      </c>
      <c r="G137" s="14">
        <f>G108*G95*'Data inputs'!$C21</f>
        <v>0</v>
      </c>
      <c r="H137" s="14">
        <f>H108*H95*'Data inputs'!$C21</f>
        <v>0</v>
      </c>
      <c r="I137" s="14">
        <f>I108*I95*'Data inputs'!$C21</f>
        <v>0</v>
      </c>
      <c r="J137" s="14">
        <f>J108*J95*'Data inputs'!$C21</f>
        <v>0</v>
      </c>
      <c r="K137" s="14">
        <f>K108*K95*'Data inputs'!$C21</f>
        <v>0</v>
      </c>
      <c r="L137" s="5">
        <f t="shared" si="92"/>
        <v>0</v>
      </c>
    </row>
    <row r="138" spans="1:12" x14ac:dyDescent="0.25">
      <c r="A138" s="4" t="s">
        <v>37</v>
      </c>
      <c r="B138" s="14">
        <f>B109*B96*'Data inputs'!$C22</f>
        <v>13651467.746093513</v>
      </c>
      <c r="C138" s="14">
        <f>C109*C96*'Data inputs'!$C22</f>
        <v>13651467.746093513</v>
      </c>
      <c r="D138" s="14">
        <f>D109*D96*'Data inputs'!$C22</f>
        <v>13651467.746093513</v>
      </c>
      <c r="E138" s="14">
        <f>E109*E96*'Data inputs'!$C22</f>
        <v>13651467.746093513</v>
      </c>
      <c r="F138" s="14">
        <f>F109*F96*'Data inputs'!$C22</f>
        <v>13651467.746093513</v>
      </c>
      <c r="G138" s="14">
        <f>G109*G96*'Data inputs'!$C22</f>
        <v>13651467.746093513</v>
      </c>
      <c r="H138" s="14">
        <f>H109*H96*'Data inputs'!$C22</f>
        <v>13651467.746093513</v>
      </c>
      <c r="I138" s="14">
        <f>I109*I96*'Data inputs'!$C22</f>
        <v>13651467.746093513</v>
      </c>
      <c r="J138" s="14">
        <f>J109*J96*'Data inputs'!$C22</f>
        <v>13651467.746093513</v>
      </c>
      <c r="K138" s="14">
        <f>K109*K96*'Data inputs'!$C22</f>
        <v>13651467.746093513</v>
      </c>
      <c r="L138" s="5">
        <f t="shared" si="92"/>
        <v>13651467.746093515</v>
      </c>
    </row>
    <row r="139" spans="1:12" x14ac:dyDescent="0.25">
      <c r="A139" s="4" t="s">
        <v>38</v>
      </c>
      <c r="B139" s="14">
        <f>B110*B97*'Data inputs'!$C23</f>
        <v>0</v>
      </c>
      <c r="C139" s="14">
        <f>C110*C97*'Data inputs'!$C23</f>
        <v>0</v>
      </c>
      <c r="D139" s="14">
        <f>D110*D97*'Data inputs'!$C23</f>
        <v>0</v>
      </c>
      <c r="E139" s="14">
        <f>E110*E97*'Data inputs'!$C23</f>
        <v>0</v>
      </c>
      <c r="F139" s="14">
        <f>F110*F97*'Data inputs'!$C23</f>
        <v>0</v>
      </c>
      <c r="G139" s="14">
        <f>G110*G97*'Data inputs'!$C23</f>
        <v>0</v>
      </c>
      <c r="H139" s="14">
        <f>H110*H97*'Data inputs'!$C23</f>
        <v>0</v>
      </c>
      <c r="I139" s="14">
        <f>I110*I97*'Data inputs'!$C23</f>
        <v>0</v>
      </c>
      <c r="J139" s="14">
        <f>J110*J97*'Data inputs'!$C23</f>
        <v>0</v>
      </c>
      <c r="K139" s="14">
        <f>K110*K97*'Data inputs'!$C23</f>
        <v>0</v>
      </c>
      <c r="L139" s="5">
        <f t="shared" si="92"/>
        <v>0</v>
      </c>
    </row>
    <row r="140" spans="1:12" x14ac:dyDescent="0.25">
      <c r="A140" s="4" t="s">
        <v>15</v>
      </c>
      <c r="B140" s="60">
        <f>B111*B98*'Data inputs'!$C24</f>
        <v>8082969.3122871183</v>
      </c>
      <c r="C140" s="60">
        <f>C111*C98*'Data inputs'!$C24</f>
        <v>8082969.3122871183</v>
      </c>
      <c r="D140" s="60">
        <f>D111*D98*'Data inputs'!$C24</f>
        <v>8082969.3122871183</v>
      </c>
      <c r="E140" s="60">
        <f>E111*E98*'Data inputs'!$C24</f>
        <v>8082969.3122871183</v>
      </c>
      <c r="F140" s="60">
        <f>F111*F98*'Data inputs'!$C24</f>
        <v>8082969.3122871183</v>
      </c>
      <c r="G140" s="60">
        <f>G111*G98*'Data inputs'!$C24</f>
        <v>8082969.3122871183</v>
      </c>
      <c r="H140" s="60">
        <f>H111*H98*'Data inputs'!$C24</f>
        <v>8082969.3122871183</v>
      </c>
      <c r="I140" s="60">
        <f>I111*I98*'Data inputs'!$C24</f>
        <v>8082969.3122871183</v>
      </c>
      <c r="J140" s="60">
        <f>J111*J98*'Data inputs'!$C24</f>
        <v>8082969.3122871183</v>
      </c>
      <c r="K140" s="60">
        <f>K111*K98*'Data inputs'!$C24</f>
        <v>8082969.3122871183</v>
      </c>
      <c r="L140" s="13">
        <f t="shared" si="92"/>
        <v>8082969.3122871201</v>
      </c>
    </row>
    <row r="141" spans="1:12" x14ac:dyDescent="0.25">
      <c r="B141" s="14">
        <f>SUM(B130:B140)</f>
        <v>32926571.032375976</v>
      </c>
      <c r="C141" s="14">
        <f t="shared" ref="C141" si="93">SUM(C130:C140)</f>
        <v>32926571.032375976</v>
      </c>
      <c r="D141" s="14">
        <f t="shared" ref="D141" si="94">SUM(D130:D140)</f>
        <v>32926571.032375976</v>
      </c>
      <c r="E141" s="14">
        <f t="shared" ref="E141" si="95">SUM(E130:E140)</f>
        <v>32926571.032375976</v>
      </c>
      <c r="F141" s="14">
        <f t="shared" ref="F141" si="96">SUM(F130:F140)</f>
        <v>32926571.032375976</v>
      </c>
      <c r="G141" s="14">
        <f t="shared" ref="G141" si="97">SUM(G130:G140)</f>
        <v>32926571.032375976</v>
      </c>
      <c r="H141" s="14">
        <f t="shared" ref="H141" si="98">SUM(H130:H140)</f>
        <v>32926571.032375976</v>
      </c>
      <c r="I141" s="14">
        <f t="shared" ref="I141" si="99">SUM(I130:I140)</f>
        <v>32926571.032375976</v>
      </c>
      <c r="J141" s="14">
        <f t="shared" ref="J141" si="100">SUM(J130:J140)</f>
        <v>32926571.032375976</v>
      </c>
      <c r="K141" s="14">
        <f t="shared" ref="K141" si="101">SUM(K130:K140)</f>
        <v>32926571.032375976</v>
      </c>
      <c r="L141" s="5">
        <f t="shared" si="92"/>
        <v>32926571.032375984</v>
      </c>
    </row>
    <row r="142" spans="1:12" x14ac:dyDescent="0.25">
      <c r="B142" s="16">
        <f>B141/B$112</f>
        <v>0.24937193105299965</v>
      </c>
      <c r="C142" s="16">
        <f t="shared" ref="C142" si="102">C141/C$112</f>
        <v>0.24937193105299965</v>
      </c>
      <c r="D142" s="16">
        <f t="shared" ref="D142" si="103">D141/D$112</f>
        <v>0.24937193105299965</v>
      </c>
      <c r="E142" s="16">
        <f t="shared" ref="E142" si="104">E141/E$112</f>
        <v>0.24937193105299965</v>
      </c>
      <c r="F142" s="16">
        <f t="shared" ref="F142" si="105">F141/F$112</f>
        <v>0.24937193105299965</v>
      </c>
      <c r="G142" s="16">
        <f t="shared" ref="G142" si="106">G141/G$112</f>
        <v>0.24937193105299965</v>
      </c>
      <c r="H142" s="16">
        <f t="shared" ref="H142" si="107">H141/H$112</f>
        <v>0.24937193105299965</v>
      </c>
      <c r="I142" s="16">
        <f t="shared" ref="I142" si="108">I141/I$112</f>
        <v>0.24937193105299965</v>
      </c>
      <c r="J142" s="16">
        <f t="shared" ref="J142" si="109">J141/J$112</f>
        <v>0.24937193105299965</v>
      </c>
      <c r="K142" s="16">
        <f t="shared" ref="K142" si="110">K141/K$112</f>
        <v>0.24937193105299965</v>
      </c>
    </row>
    <row r="143" spans="1:12" x14ac:dyDescent="0.25">
      <c r="A143" s="61" t="s">
        <v>58</v>
      </c>
      <c r="B143" s="18"/>
      <c r="C143" s="48"/>
      <c r="D143" s="48"/>
      <c r="E143" s="48"/>
      <c r="F143" s="48"/>
      <c r="G143" s="48"/>
      <c r="H143" s="48"/>
      <c r="I143" s="48"/>
      <c r="J143" s="48"/>
      <c r="K143" s="48"/>
    </row>
    <row r="144" spans="1:12" x14ac:dyDescent="0.25">
      <c r="A144" s="20" t="s">
        <v>35</v>
      </c>
      <c r="B144" s="5">
        <f t="shared" ref="B144:B154" si="111">(B130+B115)/2</f>
        <v>8948019.6600488201</v>
      </c>
      <c r="C144" s="5">
        <f t="shared" ref="C144:K144" si="112">(C130+C115)/2</f>
        <v>8948019.6600488201</v>
      </c>
      <c r="D144" s="5">
        <f t="shared" si="112"/>
        <v>8948019.6600488201</v>
      </c>
      <c r="E144" s="5">
        <f t="shared" si="112"/>
        <v>8948019.6600488201</v>
      </c>
      <c r="F144" s="5">
        <f t="shared" si="112"/>
        <v>8948019.6600488201</v>
      </c>
      <c r="G144" s="5">
        <f t="shared" si="112"/>
        <v>8948019.6600488201</v>
      </c>
      <c r="H144" s="5">
        <f t="shared" si="112"/>
        <v>8948019.6600488201</v>
      </c>
      <c r="I144" s="5">
        <f t="shared" si="112"/>
        <v>8948019.6600488201</v>
      </c>
      <c r="J144" s="5">
        <f t="shared" si="112"/>
        <v>8948019.6600488201</v>
      </c>
      <c r="K144" s="5">
        <f t="shared" si="112"/>
        <v>8948019.6600488201</v>
      </c>
    </row>
    <row r="145" spans="1:11" x14ac:dyDescent="0.25">
      <c r="A145" s="20" t="s">
        <v>36</v>
      </c>
      <c r="B145" s="5">
        <f t="shared" si="111"/>
        <v>1084858.3711531691</v>
      </c>
      <c r="C145" s="5">
        <f t="shared" ref="C145:K145" si="113">(C131+C116)/2</f>
        <v>1084858.3711531691</v>
      </c>
      <c r="D145" s="5">
        <f t="shared" si="113"/>
        <v>1084858.3711531691</v>
      </c>
      <c r="E145" s="5">
        <f t="shared" si="113"/>
        <v>1084858.3711531691</v>
      </c>
      <c r="F145" s="5">
        <f t="shared" si="113"/>
        <v>1084858.3711531691</v>
      </c>
      <c r="G145" s="5">
        <f t="shared" si="113"/>
        <v>1084858.3711531691</v>
      </c>
      <c r="H145" s="5">
        <f t="shared" si="113"/>
        <v>1084858.3711531691</v>
      </c>
      <c r="I145" s="5">
        <f t="shared" si="113"/>
        <v>1084858.3711531691</v>
      </c>
      <c r="J145" s="5">
        <f t="shared" si="113"/>
        <v>1084858.3711531691</v>
      </c>
      <c r="K145" s="5">
        <f t="shared" si="113"/>
        <v>1084858.3711531691</v>
      </c>
    </row>
    <row r="146" spans="1:11" x14ac:dyDescent="0.25">
      <c r="A146" s="20" t="s">
        <v>11</v>
      </c>
      <c r="B146" s="5">
        <f t="shared" si="111"/>
        <v>0</v>
      </c>
      <c r="C146" s="5">
        <f t="shared" ref="C146:K146" si="114">(C132+C117)/2</f>
        <v>0</v>
      </c>
      <c r="D146" s="5">
        <f t="shared" si="114"/>
        <v>0</v>
      </c>
      <c r="E146" s="5">
        <f t="shared" si="114"/>
        <v>0</v>
      </c>
      <c r="F146" s="5">
        <f t="shared" si="114"/>
        <v>0</v>
      </c>
      <c r="G146" s="5">
        <f t="shared" si="114"/>
        <v>0</v>
      </c>
      <c r="H146" s="5">
        <f t="shared" si="114"/>
        <v>0</v>
      </c>
      <c r="I146" s="5">
        <f t="shared" si="114"/>
        <v>0</v>
      </c>
      <c r="J146" s="5">
        <f t="shared" si="114"/>
        <v>0</v>
      </c>
      <c r="K146" s="5">
        <f t="shared" si="114"/>
        <v>0</v>
      </c>
    </row>
    <row r="147" spans="1:11" x14ac:dyDescent="0.25">
      <c r="A147" s="20" t="s">
        <v>124</v>
      </c>
      <c r="B147" s="5">
        <f t="shared" si="111"/>
        <v>3543412.1925595002</v>
      </c>
      <c r="C147" s="5">
        <f t="shared" ref="C147:K147" si="115">(C133+C118)/2</f>
        <v>3543412.1925595002</v>
      </c>
      <c r="D147" s="5">
        <f t="shared" si="115"/>
        <v>3543412.1925595002</v>
      </c>
      <c r="E147" s="5">
        <f t="shared" si="115"/>
        <v>3543412.1925595002</v>
      </c>
      <c r="F147" s="5">
        <f t="shared" si="115"/>
        <v>3543412.1925595002</v>
      </c>
      <c r="G147" s="5">
        <f t="shared" si="115"/>
        <v>3543412.1925595002</v>
      </c>
      <c r="H147" s="5">
        <f t="shared" si="115"/>
        <v>3543412.1925595002</v>
      </c>
      <c r="I147" s="5">
        <f t="shared" si="115"/>
        <v>3543412.1925595002</v>
      </c>
      <c r="J147" s="5">
        <f t="shared" si="115"/>
        <v>3543412.1925595002</v>
      </c>
      <c r="K147" s="5">
        <f t="shared" si="115"/>
        <v>3543412.1925595002</v>
      </c>
    </row>
    <row r="148" spans="1:11" x14ac:dyDescent="0.25">
      <c r="A148" s="20" t="s">
        <v>12</v>
      </c>
      <c r="B148" s="5">
        <f t="shared" si="111"/>
        <v>1472610.713233972</v>
      </c>
      <c r="C148" s="5">
        <f t="shared" ref="C148:K148" si="116">(C134+C119)/2</f>
        <v>1472610.713233972</v>
      </c>
      <c r="D148" s="5">
        <f t="shared" si="116"/>
        <v>1472610.713233972</v>
      </c>
      <c r="E148" s="5">
        <f t="shared" si="116"/>
        <v>1472610.713233972</v>
      </c>
      <c r="F148" s="5">
        <f t="shared" si="116"/>
        <v>1472610.713233972</v>
      </c>
      <c r="G148" s="5">
        <f t="shared" si="116"/>
        <v>1472610.713233972</v>
      </c>
      <c r="H148" s="5">
        <f t="shared" si="116"/>
        <v>1472610.713233972</v>
      </c>
      <c r="I148" s="5">
        <f t="shared" si="116"/>
        <v>1472610.713233972</v>
      </c>
      <c r="J148" s="5">
        <f t="shared" si="116"/>
        <v>1472610.713233972</v>
      </c>
      <c r="K148" s="5">
        <f t="shared" si="116"/>
        <v>1472610.713233972</v>
      </c>
    </row>
    <row r="149" spans="1:11" x14ac:dyDescent="0.25">
      <c r="A149" s="20" t="s">
        <v>13</v>
      </c>
      <c r="B149" s="5">
        <f t="shared" si="111"/>
        <v>0</v>
      </c>
      <c r="C149" s="5">
        <f t="shared" ref="C149:K149" si="117">(C135+C120)/2</f>
        <v>0</v>
      </c>
      <c r="D149" s="5">
        <f t="shared" si="117"/>
        <v>0</v>
      </c>
      <c r="E149" s="5">
        <f t="shared" si="117"/>
        <v>0</v>
      </c>
      <c r="F149" s="5">
        <f t="shared" si="117"/>
        <v>0</v>
      </c>
      <c r="G149" s="5">
        <f t="shared" si="117"/>
        <v>0</v>
      </c>
      <c r="H149" s="5">
        <f t="shared" si="117"/>
        <v>0</v>
      </c>
      <c r="I149" s="5">
        <f t="shared" si="117"/>
        <v>0</v>
      </c>
      <c r="J149" s="5">
        <f t="shared" si="117"/>
        <v>0</v>
      </c>
      <c r="K149" s="5">
        <f t="shared" si="117"/>
        <v>0</v>
      </c>
    </row>
    <row r="150" spans="1:11" x14ac:dyDescent="0.25">
      <c r="A150" s="20" t="s">
        <v>14</v>
      </c>
      <c r="B150" s="5">
        <f t="shared" si="111"/>
        <v>0</v>
      </c>
      <c r="C150" s="5">
        <f t="shared" ref="C150:K150" si="118">(C136+C121)/2</f>
        <v>0</v>
      </c>
      <c r="D150" s="5">
        <f t="shared" si="118"/>
        <v>0</v>
      </c>
      <c r="E150" s="5">
        <f t="shared" si="118"/>
        <v>0</v>
      </c>
      <c r="F150" s="5">
        <f t="shared" si="118"/>
        <v>0</v>
      </c>
      <c r="G150" s="5">
        <f t="shared" si="118"/>
        <v>0</v>
      </c>
      <c r="H150" s="5">
        <f t="shared" si="118"/>
        <v>0</v>
      </c>
      <c r="I150" s="5">
        <f t="shared" si="118"/>
        <v>0</v>
      </c>
      <c r="J150" s="5">
        <f t="shared" si="118"/>
        <v>0</v>
      </c>
      <c r="K150" s="5">
        <f t="shared" si="118"/>
        <v>0</v>
      </c>
    </row>
    <row r="151" spans="1:11" x14ac:dyDescent="0.25">
      <c r="A151" s="20" t="s">
        <v>125</v>
      </c>
      <c r="B151" s="5">
        <f t="shared" si="111"/>
        <v>0</v>
      </c>
      <c r="C151" s="5">
        <f t="shared" ref="C151:K151" si="119">(C137+C122)/2</f>
        <v>0</v>
      </c>
      <c r="D151" s="5">
        <f t="shared" si="119"/>
        <v>0</v>
      </c>
      <c r="E151" s="5">
        <f t="shared" si="119"/>
        <v>0</v>
      </c>
      <c r="F151" s="5">
        <f t="shared" si="119"/>
        <v>0</v>
      </c>
      <c r="G151" s="5">
        <f t="shared" si="119"/>
        <v>0</v>
      </c>
      <c r="H151" s="5">
        <f t="shared" si="119"/>
        <v>0</v>
      </c>
      <c r="I151" s="5">
        <f t="shared" si="119"/>
        <v>0</v>
      </c>
      <c r="J151" s="5">
        <f t="shared" si="119"/>
        <v>0</v>
      </c>
      <c r="K151" s="5">
        <f t="shared" si="119"/>
        <v>0</v>
      </c>
    </row>
    <row r="152" spans="1:11" x14ac:dyDescent="0.25">
      <c r="A152" s="20" t="s">
        <v>37</v>
      </c>
      <c r="B152" s="5">
        <f t="shared" si="111"/>
        <v>16826227.687045492</v>
      </c>
      <c r="C152" s="5">
        <f t="shared" ref="C152:K152" si="120">(C138+C123)/2</f>
        <v>16826227.687045492</v>
      </c>
      <c r="D152" s="5">
        <f t="shared" si="120"/>
        <v>16826227.687045492</v>
      </c>
      <c r="E152" s="5">
        <f t="shared" si="120"/>
        <v>16826227.687045492</v>
      </c>
      <c r="F152" s="5">
        <f t="shared" si="120"/>
        <v>16826227.687045492</v>
      </c>
      <c r="G152" s="5">
        <f t="shared" si="120"/>
        <v>16826227.687045492</v>
      </c>
      <c r="H152" s="5">
        <f t="shared" si="120"/>
        <v>16826227.687045492</v>
      </c>
      <c r="I152" s="5">
        <f t="shared" si="120"/>
        <v>16826227.687045492</v>
      </c>
      <c r="J152" s="5">
        <f t="shared" si="120"/>
        <v>16826227.687045492</v>
      </c>
      <c r="K152" s="5">
        <f t="shared" si="120"/>
        <v>16826227.687045492</v>
      </c>
    </row>
    <row r="153" spans="1:11" x14ac:dyDescent="0.25">
      <c r="A153" s="20" t="s">
        <v>38</v>
      </c>
      <c r="B153" s="5">
        <f t="shared" si="111"/>
        <v>329088.86333518761</v>
      </c>
      <c r="C153" s="5">
        <f t="shared" ref="C153:K153" si="121">(C139+C124)/2</f>
        <v>329088.86333518761</v>
      </c>
      <c r="D153" s="5">
        <f t="shared" si="121"/>
        <v>329088.86333518761</v>
      </c>
      <c r="E153" s="5">
        <f t="shared" si="121"/>
        <v>329088.86333518761</v>
      </c>
      <c r="F153" s="5">
        <f t="shared" si="121"/>
        <v>329088.86333518761</v>
      </c>
      <c r="G153" s="5">
        <f t="shared" si="121"/>
        <v>329088.86333518761</v>
      </c>
      <c r="H153" s="5">
        <f t="shared" si="121"/>
        <v>329088.86333518761</v>
      </c>
      <c r="I153" s="5">
        <f t="shared" si="121"/>
        <v>329088.86333518761</v>
      </c>
      <c r="J153" s="5">
        <f t="shared" si="121"/>
        <v>329088.86333518761</v>
      </c>
      <c r="K153" s="5">
        <f t="shared" si="121"/>
        <v>329088.86333518761</v>
      </c>
    </row>
    <row r="154" spans="1:11" x14ac:dyDescent="0.25">
      <c r="A154" s="20" t="s">
        <v>15</v>
      </c>
      <c r="B154" s="13">
        <f t="shared" si="111"/>
        <v>12124453.968430679</v>
      </c>
      <c r="C154" s="13">
        <f t="shared" ref="C154:K154" si="122">(C140+C125)/2</f>
        <v>12124453.968430679</v>
      </c>
      <c r="D154" s="13">
        <f t="shared" si="122"/>
        <v>12124453.968430679</v>
      </c>
      <c r="E154" s="13">
        <f t="shared" si="122"/>
        <v>12124453.968430679</v>
      </c>
      <c r="F154" s="13">
        <f t="shared" si="122"/>
        <v>12124453.968430679</v>
      </c>
      <c r="G154" s="13">
        <f t="shared" si="122"/>
        <v>12124453.968430679</v>
      </c>
      <c r="H154" s="13">
        <f t="shared" si="122"/>
        <v>12124453.968430679</v>
      </c>
      <c r="I154" s="13">
        <f t="shared" si="122"/>
        <v>12124453.968430679</v>
      </c>
      <c r="J154" s="13">
        <f t="shared" si="122"/>
        <v>12124453.968430679</v>
      </c>
      <c r="K154" s="13">
        <f t="shared" si="122"/>
        <v>12124453.968430679</v>
      </c>
    </row>
    <row r="155" spans="1:11" x14ac:dyDescent="0.25">
      <c r="A155" s="5"/>
      <c r="B155" s="5">
        <f t="shared" ref="B155:K155" si="123">SUM(B144:B154)</f>
        <v>44328671.455806822</v>
      </c>
      <c r="C155" s="5">
        <f t="shared" si="123"/>
        <v>44328671.455806822</v>
      </c>
      <c r="D155" s="5">
        <f t="shared" si="123"/>
        <v>44328671.455806822</v>
      </c>
      <c r="E155" s="5">
        <f t="shared" si="123"/>
        <v>44328671.455806822</v>
      </c>
      <c r="F155" s="5">
        <f t="shared" si="123"/>
        <v>44328671.455806822</v>
      </c>
      <c r="G155" s="5">
        <f t="shared" si="123"/>
        <v>44328671.455806822</v>
      </c>
      <c r="H155" s="5">
        <f t="shared" si="123"/>
        <v>44328671.455806822</v>
      </c>
      <c r="I155" s="5">
        <f t="shared" si="123"/>
        <v>44328671.455806822</v>
      </c>
      <c r="J155" s="5">
        <f t="shared" si="123"/>
        <v>44328671.455806822</v>
      </c>
      <c r="K155" s="5">
        <f t="shared" si="123"/>
        <v>44328671.455806822</v>
      </c>
    </row>
    <row r="156" spans="1:11" x14ac:dyDescent="0.25">
      <c r="B156" s="16">
        <f>B155/B$112</f>
        <v>0.33572662003216358</v>
      </c>
      <c r="C156" s="16">
        <f t="shared" ref="C156" si="124">C155/C$112</f>
        <v>0.33572662003216358</v>
      </c>
      <c r="D156" s="16">
        <f t="shared" ref="D156" si="125">D155/D$112</f>
        <v>0.33572662003216358</v>
      </c>
      <c r="E156" s="16">
        <f t="shared" ref="E156" si="126">E155/E$112</f>
        <v>0.33572662003216358</v>
      </c>
      <c r="F156" s="16">
        <f t="shared" ref="F156" si="127">F155/F$112</f>
        <v>0.33572662003216358</v>
      </c>
      <c r="G156" s="16">
        <f t="shared" ref="G156" si="128">G155/G$112</f>
        <v>0.33572662003216358</v>
      </c>
      <c r="H156" s="16">
        <f t="shared" ref="H156" si="129">H155/H$112</f>
        <v>0.33572662003216358</v>
      </c>
      <c r="I156" s="16">
        <f t="shared" ref="I156" si="130">I155/I$112</f>
        <v>0.33572662003216358</v>
      </c>
      <c r="J156" s="16">
        <f t="shared" ref="J156" si="131">J155/J$112</f>
        <v>0.33572662003216358</v>
      </c>
      <c r="K156" s="16">
        <f t="shared" ref="K156" si="132">K155/K$112</f>
        <v>0.33572662003216358</v>
      </c>
    </row>
    <row r="157" spans="1:11" s="3" customFormat="1" x14ac:dyDescent="0.25">
      <c r="A157" s="2" t="s">
        <v>50</v>
      </c>
    </row>
    <row r="158" spans="1:11" x14ac:dyDescent="0.25">
      <c r="B158" s="12" t="str">
        <f>'Summary dashboard'!C4</f>
        <v>2023</v>
      </c>
      <c r="C158" s="12">
        <f>B158+1</f>
        <v>2024</v>
      </c>
      <c r="D158" s="12">
        <f t="shared" ref="D158" si="133">C158+1</f>
        <v>2025</v>
      </c>
      <c r="E158" s="12">
        <f t="shared" ref="E158" si="134">D158+1</f>
        <v>2026</v>
      </c>
      <c r="F158" s="12">
        <f t="shared" ref="F158" si="135">E158+1</f>
        <v>2027</v>
      </c>
      <c r="G158" s="12">
        <f t="shared" ref="G158" si="136">F158+1</f>
        <v>2028</v>
      </c>
      <c r="H158" s="12">
        <f t="shared" ref="H158" si="137">G158+1</f>
        <v>2029</v>
      </c>
      <c r="I158" s="12">
        <f t="shared" ref="I158" si="138">H158+1</f>
        <v>2030</v>
      </c>
      <c r="J158" s="12">
        <f t="shared" ref="J158" si="139">I158+1</f>
        <v>2031</v>
      </c>
      <c r="K158" s="12">
        <f>J158+1</f>
        <v>2032</v>
      </c>
    </row>
    <row r="159" spans="1:11" x14ac:dyDescent="0.25">
      <c r="A159" s="4" t="s">
        <v>35</v>
      </c>
      <c r="B159" s="16">
        <f>'Mkuze-Mtamvuna CMA'!B31</f>
        <v>1</v>
      </c>
      <c r="C159" s="16">
        <f>'Mkuze-Mtamvuna CMA'!C31</f>
        <v>1</v>
      </c>
      <c r="D159" s="16">
        <f>'Mkuze-Mtamvuna CMA'!D31</f>
        <v>1</v>
      </c>
      <c r="E159" s="16">
        <f>'Mkuze-Mtamvuna CMA'!E31</f>
        <v>1</v>
      </c>
      <c r="F159" s="16">
        <f>'Mkuze-Mtamvuna CMA'!F31</f>
        <v>1</v>
      </c>
      <c r="G159" s="16">
        <f>'Mkuze-Mtamvuna CMA'!G31</f>
        <v>1</v>
      </c>
      <c r="H159" s="16">
        <f>'Mkuze-Mtamvuna CMA'!H31</f>
        <v>1</v>
      </c>
      <c r="I159" s="16">
        <f>'Mkuze-Mtamvuna CMA'!I31</f>
        <v>1</v>
      </c>
      <c r="J159" s="16">
        <f>'Mkuze-Mtamvuna CMA'!J31</f>
        <v>1</v>
      </c>
      <c r="K159" s="16">
        <f>'Mkuze-Mtamvuna CMA'!K31</f>
        <v>1</v>
      </c>
    </row>
    <row r="160" spans="1:11" x14ac:dyDescent="0.25">
      <c r="A160" s="4" t="s">
        <v>36</v>
      </c>
      <c r="B160" s="16">
        <f>'Mkuze-Mtamvuna CMA'!B32</f>
        <v>1</v>
      </c>
      <c r="C160" s="16">
        <f>'Mkuze-Mtamvuna CMA'!C32</f>
        <v>1</v>
      </c>
      <c r="D160" s="16">
        <f>'Mkuze-Mtamvuna CMA'!D32</f>
        <v>1</v>
      </c>
      <c r="E160" s="16">
        <f>'Mkuze-Mtamvuna CMA'!E32</f>
        <v>1</v>
      </c>
      <c r="F160" s="16">
        <f>'Mkuze-Mtamvuna CMA'!F32</f>
        <v>1</v>
      </c>
      <c r="G160" s="16">
        <f>'Mkuze-Mtamvuna CMA'!G32</f>
        <v>1</v>
      </c>
      <c r="H160" s="16">
        <f>'Mkuze-Mtamvuna CMA'!H32</f>
        <v>1</v>
      </c>
      <c r="I160" s="16">
        <f>'Mkuze-Mtamvuna CMA'!I32</f>
        <v>1</v>
      </c>
      <c r="J160" s="16">
        <f>'Mkuze-Mtamvuna CMA'!J32</f>
        <v>1</v>
      </c>
      <c r="K160" s="16">
        <f>'Mkuze-Mtamvuna CMA'!K32</f>
        <v>1</v>
      </c>
    </row>
    <row r="161" spans="1:12" x14ac:dyDescent="0.25">
      <c r="A161" s="4" t="s">
        <v>11</v>
      </c>
      <c r="B161" s="16">
        <f>'Mkuze-Mtamvuna CMA'!B33</f>
        <v>1</v>
      </c>
      <c r="C161" s="16">
        <f>'Mkuze-Mtamvuna CMA'!C33</f>
        <v>1</v>
      </c>
      <c r="D161" s="16">
        <f>'Mkuze-Mtamvuna CMA'!D33</f>
        <v>1</v>
      </c>
      <c r="E161" s="16">
        <f>'Mkuze-Mtamvuna CMA'!E33</f>
        <v>1</v>
      </c>
      <c r="F161" s="16">
        <f>'Mkuze-Mtamvuna CMA'!F33</f>
        <v>1</v>
      </c>
      <c r="G161" s="16">
        <f>'Mkuze-Mtamvuna CMA'!G33</f>
        <v>1</v>
      </c>
      <c r="H161" s="16">
        <f>'Mkuze-Mtamvuna CMA'!H33</f>
        <v>1</v>
      </c>
      <c r="I161" s="16">
        <f>'Mkuze-Mtamvuna CMA'!I33</f>
        <v>1</v>
      </c>
      <c r="J161" s="16">
        <f>'Mkuze-Mtamvuna CMA'!J33</f>
        <v>1</v>
      </c>
      <c r="K161" s="16">
        <f>'Mkuze-Mtamvuna CMA'!K33</f>
        <v>1</v>
      </c>
    </row>
    <row r="162" spans="1:12" x14ac:dyDescent="0.25">
      <c r="A162" s="4" t="s">
        <v>124</v>
      </c>
      <c r="B162" s="16">
        <f>'Mkuze-Mtamvuna CMA'!B34</f>
        <v>1</v>
      </c>
      <c r="C162" s="16">
        <f>'Mkuze-Mtamvuna CMA'!C34</f>
        <v>1</v>
      </c>
      <c r="D162" s="16">
        <f>'Mkuze-Mtamvuna CMA'!D34</f>
        <v>1</v>
      </c>
      <c r="E162" s="16">
        <f>'Mkuze-Mtamvuna CMA'!E34</f>
        <v>1</v>
      </c>
      <c r="F162" s="16">
        <f>'Mkuze-Mtamvuna CMA'!F34</f>
        <v>1</v>
      </c>
      <c r="G162" s="16">
        <f>'Mkuze-Mtamvuna CMA'!G34</f>
        <v>1</v>
      </c>
      <c r="H162" s="16">
        <f>'Mkuze-Mtamvuna CMA'!H34</f>
        <v>1</v>
      </c>
      <c r="I162" s="16">
        <f>'Mkuze-Mtamvuna CMA'!I34</f>
        <v>1</v>
      </c>
      <c r="J162" s="16">
        <f>'Mkuze-Mtamvuna CMA'!J34</f>
        <v>1</v>
      </c>
      <c r="K162" s="16">
        <f>'Mkuze-Mtamvuna CMA'!K34</f>
        <v>1</v>
      </c>
    </row>
    <row r="163" spans="1:12" x14ac:dyDescent="0.25">
      <c r="A163" s="4" t="s">
        <v>12</v>
      </c>
      <c r="B163" s="16">
        <f>'Mkuze-Mtamvuna CMA'!B35</f>
        <v>1</v>
      </c>
      <c r="C163" s="16">
        <f>'Mkuze-Mtamvuna CMA'!C35</f>
        <v>1</v>
      </c>
      <c r="D163" s="16">
        <f>'Mkuze-Mtamvuna CMA'!D35</f>
        <v>1</v>
      </c>
      <c r="E163" s="16">
        <f>'Mkuze-Mtamvuna CMA'!E35</f>
        <v>1</v>
      </c>
      <c r="F163" s="16">
        <f>'Mkuze-Mtamvuna CMA'!F35</f>
        <v>1</v>
      </c>
      <c r="G163" s="16">
        <f>'Mkuze-Mtamvuna CMA'!G35</f>
        <v>1</v>
      </c>
      <c r="H163" s="16">
        <f>'Mkuze-Mtamvuna CMA'!H35</f>
        <v>1</v>
      </c>
      <c r="I163" s="16">
        <f>'Mkuze-Mtamvuna CMA'!I35</f>
        <v>1</v>
      </c>
      <c r="J163" s="16">
        <f>'Mkuze-Mtamvuna CMA'!J35</f>
        <v>1</v>
      </c>
      <c r="K163" s="16">
        <f>'Mkuze-Mtamvuna CMA'!K35</f>
        <v>1</v>
      </c>
    </row>
    <row r="164" spans="1:12" x14ac:dyDescent="0.25">
      <c r="A164" s="4" t="s">
        <v>13</v>
      </c>
      <c r="B164" s="16">
        <f>'Mkuze-Mtamvuna CMA'!B36</f>
        <v>1</v>
      </c>
      <c r="C164" s="16">
        <f>'Mkuze-Mtamvuna CMA'!C36</f>
        <v>1</v>
      </c>
      <c r="D164" s="16">
        <f>'Mkuze-Mtamvuna CMA'!D36</f>
        <v>1</v>
      </c>
      <c r="E164" s="16">
        <f>'Mkuze-Mtamvuna CMA'!E36</f>
        <v>1</v>
      </c>
      <c r="F164" s="16">
        <f>'Mkuze-Mtamvuna CMA'!F36</f>
        <v>1</v>
      </c>
      <c r="G164" s="16">
        <f>'Mkuze-Mtamvuna CMA'!G36</f>
        <v>1</v>
      </c>
      <c r="H164" s="16">
        <f>'Mkuze-Mtamvuna CMA'!H36</f>
        <v>1</v>
      </c>
      <c r="I164" s="16">
        <f>'Mkuze-Mtamvuna CMA'!I36</f>
        <v>1</v>
      </c>
      <c r="J164" s="16">
        <f>'Mkuze-Mtamvuna CMA'!J36</f>
        <v>1</v>
      </c>
      <c r="K164" s="16">
        <f>'Mkuze-Mtamvuna CMA'!K36</f>
        <v>1</v>
      </c>
    </row>
    <row r="165" spans="1:12" x14ac:dyDescent="0.25">
      <c r="A165" s="4" t="s">
        <v>14</v>
      </c>
      <c r="B165" s="16">
        <f>'Mkuze-Mtamvuna CMA'!B37</f>
        <v>1</v>
      </c>
      <c r="C165" s="16">
        <f>'Mkuze-Mtamvuna CMA'!C37</f>
        <v>1</v>
      </c>
      <c r="D165" s="16">
        <f>'Mkuze-Mtamvuna CMA'!D37</f>
        <v>1</v>
      </c>
      <c r="E165" s="16">
        <f>'Mkuze-Mtamvuna CMA'!E37</f>
        <v>1</v>
      </c>
      <c r="F165" s="16">
        <f>'Mkuze-Mtamvuna CMA'!F37</f>
        <v>1</v>
      </c>
      <c r="G165" s="16">
        <f>'Mkuze-Mtamvuna CMA'!G37</f>
        <v>1</v>
      </c>
      <c r="H165" s="16">
        <f>'Mkuze-Mtamvuna CMA'!H37</f>
        <v>1</v>
      </c>
      <c r="I165" s="16">
        <f>'Mkuze-Mtamvuna CMA'!I37</f>
        <v>1</v>
      </c>
      <c r="J165" s="16">
        <f>'Mkuze-Mtamvuna CMA'!J37</f>
        <v>1</v>
      </c>
      <c r="K165" s="16">
        <f>'Mkuze-Mtamvuna CMA'!K37</f>
        <v>1</v>
      </c>
    </row>
    <row r="166" spans="1:12" x14ac:dyDescent="0.25">
      <c r="A166" s="4" t="s">
        <v>125</v>
      </c>
      <c r="B166" s="16">
        <f>'Mkuze-Mtamvuna CMA'!B38</f>
        <v>1</v>
      </c>
      <c r="C166" s="16">
        <f>'Mkuze-Mtamvuna CMA'!C38</f>
        <v>1</v>
      </c>
      <c r="D166" s="16">
        <f>'Mkuze-Mtamvuna CMA'!D38</f>
        <v>1</v>
      </c>
      <c r="E166" s="16">
        <f>'Mkuze-Mtamvuna CMA'!E38</f>
        <v>1</v>
      </c>
      <c r="F166" s="16">
        <f>'Mkuze-Mtamvuna CMA'!F38</f>
        <v>1</v>
      </c>
      <c r="G166" s="16">
        <f>'Mkuze-Mtamvuna CMA'!G38</f>
        <v>1</v>
      </c>
      <c r="H166" s="16">
        <f>'Mkuze-Mtamvuna CMA'!H38</f>
        <v>1</v>
      </c>
      <c r="I166" s="16">
        <f>'Mkuze-Mtamvuna CMA'!I38</f>
        <v>1</v>
      </c>
      <c r="J166" s="16">
        <f>'Mkuze-Mtamvuna CMA'!J38</f>
        <v>1</v>
      </c>
      <c r="K166" s="16">
        <f>'Mkuze-Mtamvuna CMA'!K38</f>
        <v>1</v>
      </c>
    </row>
    <row r="167" spans="1:12" x14ac:dyDescent="0.25">
      <c r="A167" s="4" t="s">
        <v>37</v>
      </c>
      <c r="B167" s="16">
        <f>'Mkuze-Mtamvuna CMA'!B39</f>
        <v>1</v>
      </c>
      <c r="C167" s="16">
        <f>'Mkuze-Mtamvuna CMA'!C39</f>
        <v>1</v>
      </c>
      <c r="D167" s="16">
        <f>'Mkuze-Mtamvuna CMA'!D39</f>
        <v>1</v>
      </c>
      <c r="E167" s="16">
        <f>'Mkuze-Mtamvuna CMA'!E39</f>
        <v>1</v>
      </c>
      <c r="F167" s="16">
        <f>'Mkuze-Mtamvuna CMA'!F39</f>
        <v>1</v>
      </c>
      <c r="G167" s="16">
        <f>'Mkuze-Mtamvuna CMA'!G39</f>
        <v>1</v>
      </c>
      <c r="H167" s="16">
        <f>'Mkuze-Mtamvuna CMA'!H39</f>
        <v>1</v>
      </c>
      <c r="I167" s="16">
        <f>'Mkuze-Mtamvuna CMA'!I39</f>
        <v>1</v>
      </c>
      <c r="J167" s="16">
        <f>'Mkuze-Mtamvuna CMA'!J39</f>
        <v>1</v>
      </c>
      <c r="K167" s="16">
        <f>'Mkuze-Mtamvuna CMA'!K39</f>
        <v>1</v>
      </c>
    </row>
    <row r="168" spans="1:12" x14ac:dyDescent="0.25">
      <c r="A168" s="4" t="s">
        <v>38</v>
      </c>
      <c r="B168" s="16">
        <f>'Mkuze-Mtamvuna CMA'!B40</f>
        <v>1</v>
      </c>
      <c r="C168" s="16">
        <f>'Mkuze-Mtamvuna CMA'!C40</f>
        <v>1</v>
      </c>
      <c r="D168" s="16">
        <f>'Mkuze-Mtamvuna CMA'!D40</f>
        <v>1</v>
      </c>
      <c r="E168" s="16">
        <f>'Mkuze-Mtamvuna CMA'!E40</f>
        <v>1</v>
      </c>
      <c r="F168" s="16">
        <f>'Mkuze-Mtamvuna CMA'!F40</f>
        <v>1</v>
      </c>
      <c r="G168" s="16">
        <f>'Mkuze-Mtamvuna CMA'!G40</f>
        <v>1</v>
      </c>
      <c r="H168" s="16">
        <f>'Mkuze-Mtamvuna CMA'!H40</f>
        <v>1</v>
      </c>
      <c r="I168" s="16">
        <f>'Mkuze-Mtamvuna CMA'!I40</f>
        <v>1</v>
      </c>
      <c r="J168" s="16">
        <f>'Mkuze-Mtamvuna CMA'!J40</f>
        <v>1</v>
      </c>
      <c r="K168" s="16">
        <f>'Mkuze-Mtamvuna CMA'!K40</f>
        <v>1</v>
      </c>
    </row>
    <row r="169" spans="1:12" x14ac:dyDescent="0.25">
      <c r="A169" s="4" t="s">
        <v>15</v>
      </c>
      <c r="B169" s="16">
        <f>'Mkuze-Mtamvuna CMA'!B41</f>
        <v>1</v>
      </c>
      <c r="C169" s="16">
        <f>'Mkuze-Mtamvuna CMA'!C41</f>
        <v>1</v>
      </c>
      <c r="D169" s="16">
        <f>'Mkuze-Mtamvuna CMA'!D41</f>
        <v>1</v>
      </c>
      <c r="E169" s="16">
        <f>'Mkuze-Mtamvuna CMA'!E41</f>
        <v>1</v>
      </c>
      <c r="F169" s="16">
        <f>'Mkuze-Mtamvuna CMA'!F41</f>
        <v>1</v>
      </c>
      <c r="G169" s="16">
        <f>'Mkuze-Mtamvuna CMA'!G41</f>
        <v>1</v>
      </c>
      <c r="H169" s="16">
        <f>'Mkuze-Mtamvuna CMA'!H41</f>
        <v>1</v>
      </c>
      <c r="I169" s="16">
        <f>'Mkuze-Mtamvuna CMA'!I41</f>
        <v>1</v>
      </c>
      <c r="J169" s="16">
        <f>'Mkuze-Mtamvuna CMA'!J41</f>
        <v>1</v>
      </c>
      <c r="K169" s="16">
        <f>'Mkuze-Mtamvuna CMA'!K41</f>
        <v>1</v>
      </c>
    </row>
    <row r="170" spans="1:12" x14ac:dyDescent="0.25">
      <c r="C170" s="6"/>
      <c r="D170" s="6"/>
      <c r="E170" s="6"/>
      <c r="F170" s="6"/>
      <c r="G170" s="6"/>
      <c r="H170" s="6"/>
      <c r="I170" s="6"/>
      <c r="J170" s="6"/>
      <c r="K170" s="6"/>
    </row>
    <row r="171" spans="1:12" x14ac:dyDescent="0.25">
      <c r="A171" s="1" t="s">
        <v>60</v>
      </c>
      <c r="B171" s="12" t="str">
        <f>'Summary dashboard'!C4</f>
        <v>2023</v>
      </c>
      <c r="C171" s="12">
        <f t="shared" ref="C171" si="140">B171+1</f>
        <v>2024</v>
      </c>
      <c r="D171" s="12">
        <f t="shared" ref="D171" si="141">C171+1</f>
        <v>2025</v>
      </c>
      <c r="E171" s="12">
        <f t="shared" ref="E171" si="142">D171+1</f>
        <v>2026</v>
      </c>
      <c r="F171" s="12">
        <f t="shared" ref="F171" si="143">E171+1</f>
        <v>2027</v>
      </c>
      <c r="G171" s="12">
        <f t="shared" ref="G171" si="144">F171+1</f>
        <v>2028</v>
      </c>
      <c r="H171" s="12">
        <f t="shared" ref="H171" si="145">G171+1</f>
        <v>2029</v>
      </c>
      <c r="I171" s="12">
        <f t="shared" ref="I171" si="146">H171+1</f>
        <v>2030</v>
      </c>
      <c r="J171" s="12">
        <f t="shared" ref="J171" si="147">I171+1</f>
        <v>2031</v>
      </c>
      <c r="K171" s="12">
        <f t="shared" ref="K171" si="148">J171+1</f>
        <v>2032</v>
      </c>
      <c r="L171" s="1" t="s">
        <v>28</v>
      </c>
    </row>
    <row r="172" spans="1:12" x14ac:dyDescent="0.25">
      <c r="A172" s="4" t="s">
        <v>35</v>
      </c>
      <c r="B172" s="32">
        <f>$D3*B159</f>
        <v>13973536.140000002</v>
      </c>
      <c r="C172" s="32">
        <f t="shared" ref="C172:K172" si="149">$D3*C159</f>
        <v>13973536.140000002</v>
      </c>
      <c r="D172" s="32">
        <f t="shared" si="149"/>
        <v>13973536.140000002</v>
      </c>
      <c r="E172" s="32">
        <f t="shared" si="149"/>
        <v>13973536.140000002</v>
      </c>
      <c r="F172" s="32">
        <f t="shared" si="149"/>
        <v>13973536.140000002</v>
      </c>
      <c r="G172" s="32">
        <f t="shared" si="149"/>
        <v>13973536.140000002</v>
      </c>
      <c r="H172" s="32">
        <f t="shared" si="149"/>
        <v>13973536.140000002</v>
      </c>
      <c r="I172" s="32">
        <f t="shared" si="149"/>
        <v>13973536.140000002</v>
      </c>
      <c r="J172" s="32">
        <f t="shared" si="149"/>
        <v>13973536.140000002</v>
      </c>
      <c r="K172" s="32">
        <f t="shared" si="149"/>
        <v>13973536.140000002</v>
      </c>
      <c r="L172" s="5">
        <f t="shared" ref="L172:L183" si="150">AVERAGE(B172:K172)</f>
        <v>13973536.140000004</v>
      </c>
    </row>
    <row r="173" spans="1:12" x14ac:dyDescent="0.25">
      <c r="A173" s="4" t="s">
        <v>36</v>
      </c>
      <c r="B173" s="32">
        <f t="shared" ref="B173:K173" si="151">$D4*B160</f>
        <v>0</v>
      </c>
      <c r="C173" s="32">
        <f t="shared" si="151"/>
        <v>0</v>
      </c>
      <c r="D173" s="32">
        <f t="shared" si="151"/>
        <v>0</v>
      </c>
      <c r="E173" s="32">
        <f t="shared" si="151"/>
        <v>0</v>
      </c>
      <c r="F173" s="32">
        <f t="shared" si="151"/>
        <v>0</v>
      </c>
      <c r="G173" s="32">
        <f t="shared" si="151"/>
        <v>0</v>
      </c>
      <c r="H173" s="32">
        <f t="shared" si="151"/>
        <v>0</v>
      </c>
      <c r="I173" s="32">
        <f t="shared" si="151"/>
        <v>0</v>
      </c>
      <c r="J173" s="32">
        <f t="shared" si="151"/>
        <v>0</v>
      </c>
      <c r="K173" s="32">
        <f t="shared" si="151"/>
        <v>0</v>
      </c>
      <c r="L173" s="5">
        <f t="shared" si="150"/>
        <v>0</v>
      </c>
    </row>
    <row r="174" spans="1:12" x14ac:dyDescent="0.25">
      <c r="A174" s="4" t="s">
        <v>11</v>
      </c>
      <c r="B174" s="32">
        <f t="shared" ref="B174:K174" si="152">$D5*B161</f>
        <v>0</v>
      </c>
      <c r="C174" s="32">
        <f t="shared" si="152"/>
        <v>0</v>
      </c>
      <c r="D174" s="32">
        <f t="shared" si="152"/>
        <v>0</v>
      </c>
      <c r="E174" s="32">
        <f t="shared" si="152"/>
        <v>0</v>
      </c>
      <c r="F174" s="32">
        <f t="shared" si="152"/>
        <v>0</v>
      </c>
      <c r="G174" s="32">
        <f t="shared" si="152"/>
        <v>0</v>
      </c>
      <c r="H174" s="32">
        <f t="shared" si="152"/>
        <v>0</v>
      </c>
      <c r="I174" s="32">
        <f t="shared" si="152"/>
        <v>0</v>
      </c>
      <c r="J174" s="32">
        <f t="shared" si="152"/>
        <v>0</v>
      </c>
      <c r="K174" s="32">
        <f t="shared" si="152"/>
        <v>0</v>
      </c>
      <c r="L174" s="5">
        <f t="shared" si="150"/>
        <v>0</v>
      </c>
    </row>
    <row r="175" spans="1:12" x14ac:dyDescent="0.25">
      <c r="A175" s="4" t="s">
        <v>124</v>
      </c>
      <c r="B175" s="32">
        <f t="shared" ref="B175:K175" si="153">$D6*B162</f>
        <v>500000</v>
      </c>
      <c r="C175" s="32">
        <f t="shared" si="153"/>
        <v>500000</v>
      </c>
      <c r="D175" s="32">
        <f t="shared" si="153"/>
        <v>500000</v>
      </c>
      <c r="E175" s="32">
        <f t="shared" si="153"/>
        <v>500000</v>
      </c>
      <c r="F175" s="32">
        <f t="shared" si="153"/>
        <v>500000</v>
      </c>
      <c r="G175" s="32">
        <f t="shared" si="153"/>
        <v>500000</v>
      </c>
      <c r="H175" s="32">
        <f t="shared" si="153"/>
        <v>500000</v>
      </c>
      <c r="I175" s="32">
        <f t="shared" si="153"/>
        <v>500000</v>
      </c>
      <c r="J175" s="32">
        <f t="shared" si="153"/>
        <v>500000</v>
      </c>
      <c r="K175" s="32">
        <f t="shared" si="153"/>
        <v>500000</v>
      </c>
      <c r="L175" s="5">
        <f t="shared" si="150"/>
        <v>500000</v>
      </c>
    </row>
    <row r="176" spans="1:12" x14ac:dyDescent="0.25">
      <c r="A176" s="4" t="s">
        <v>12</v>
      </c>
      <c r="B176" s="32">
        <f t="shared" ref="B176:K176" si="154">$D7*B163</f>
        <v>32756956.829999998</v>
      </c>
      <c r="C176" s="32">
        <f t="shared" si="154"/>
        <v>32756956.829999998</v>
      </c>
      <c r="D176" s="32">
        <f t="shared" si="154"/>
        <v>32756956.829999998</v>
      </c>
      <c r="E176" s="32">
        <f t="shared" si="154"/>
        <v>32756956.829999998</v>
      </c>
      <c r="F176" s="32">
        <f t="shared" si="154"/>
        <v>32756956.829999998</v>
      </c>
      <c r="G176" s="32">
        <f t="shared" si="154"/>
        <v>32756956.829999998</v>
      </c>
      <c r="H176" s="32">
        <f t="shared" si="154"/>
        <v>32756956.829999998</v>
      </c>
      <c r="I176" s="32">
        <f t="shared" si="154"/>
        <v>32756956.829999998</v>
      </c>
      <c r="J176" s="32">
        <f t="shared" si="154"/>
        <v>32756956.829999998</v>
      </c>
      <c r="K176" s="32">
        <f t="shared" si="154"/>
        <v>32756956.829999998</v>
      </c>
      <c r="L176" s="5">
        <f t="shared" si="150"/>
        <v>32756956.829999991</v>
      </c>
    </row>
    <row r="177" spans="1:13" x14ac:dyDescent="0.25">
      <c r="A177" s="4" t="s">
        <v>13</v>
      </c>
      <c r="B177" s="32">
        <f t="shared" ref="B177:K177" si="155">$D8*B164</f>
        <v>0</v>
      </c>
      <c r="C177" s="32">
        <f t="shared" si="155"/>
        <v>0</v>
      </c>
      <c r="D177" s="32">
        <f t="shared" si="155"/>
        <v>0</v>
      </c>
      <c r="E177" s="32">
        <f t="shared" si="155"/>
        <v>0</v>
      </c>
      <c r="F177" s="32">
        <f t="shared" si="155"/>
        <v>0</v>
      </c>
      <c r="G177" s="32">
        <f t="shared" si="155"/>
        <v>0</v>
      </c>
      <c r="H177" s="32">
        <f t="shared" si="155"/>
        <v>0</v>
      </c>
      <c r="I177" s="32">
        <f t="shared" si="155"/>
        <v>0</v>
      </c>
      <c r="J177" s="32">
        <f t="shared" si="155"/>
        <v>0</v>
      </c>
      <c r="K177" s="32">
        <f t="shared" si="155"/>
        <v>0</v>
      </c>
      <c r="L177" s="5">
        <f t="shared" si="150"/>
        <v>0</v>
      </c>
    </row>
    <row r="178" spans="1:13" x14ac:dyDescent="0.25">
      <c r="A178" s="4" t="s">
        <v>14</v>
      </c>
      <c r="B178" s="32">
        <f t="shared" ref="B178:K178" si="156">$D9*B165</f>
        <v>0</v>
      </c>
      <c r="C178" s="32">
        <f t="shared" si="156"/>
        <v>0</v>
      </c>
      <c r="D178" s="32">
        <f t="shared" si="156"/>
        <v>0</v>
      </c>
      <c r="E178" s="32">
        <f t="shared" si="156"/>
        <v>0</v>
      </c>
      <c r="F178" s="32">
        <f t="shared" si="156"/>
        <v>0</v>
      </c>
      <c r="G178" s="32">
        <f t="shared" si="156"/>
        <v>0</v>
      </c>
      <c r="H178" s="32">
        <f t="shared" si="156"/>
        <v>0</v>
      </c>
      <c r="I178" s="32">
        <f t="shared" si="156"/>
        <v>0</v>
      </c>
      <c r="J178" s="32">
        <f t="shared" si="156"/>
        <v>0</v>
      </c>
      <c r="K178" s="32">
        <f t="shared" si="156"/>
        <v>0</v>
      </c>
      <c r="L178" s="5">
        <f t="shared" si="150"/>
        <v>0</v>
      </c>
    </row>
    <row r="179" spans="1:13" x14ac:dyDescent="0.25">
      <c r="A179" s="4" t="s">
        <v>125</v>
      </c>
      <c r="B179" s="32">
        <f t="shared" ref="B179:K179" si="157">$D10*B166</f>
        <v>0</v>
      </c>
      <c r="C179" s="32">
        <f t="shared" si="157"/>
        <v>0</v>
      </c>
      <c r="D179" s="32">
        <f t="shared" si="157"/>
        <v>0</v>
      </c>
      <c r="E179" s="32">
        <f t="shared" si="157"/>
        <v>0</v>
      </c>
      <c r="F179" s="32">
        <f t="shared" si="157"/>
        <v>0</v>
      </c>
      <c r="G179" s="32">
        <f t="shared" si="157"/>
        <v>0</v>
      </c>
      <c r="H179" s="32">
        <f t="shared" si="157"/>
        <v>0</v>
      </c>
      <c r="I179" s="32">
        <f t="shared" si="157"/>
        <v>0</v>
      </c>
      <c r="J179" s="32">
        <f t="shared" si="157"/>
        <v>0</v>
      </c>
      <c r="K179" s="32">
        <f t="shared" si="157"/>
        <v>0</v>
      </c>
      <c r="L179" s="5">
        <f t="shared" si="150"/>
        <v>0</v>
      </c>
    </row>
    <row r="180" spans="1:13" x14ac:dyDescent="0.25">
      <c r="A180" s="4" t="s">
        <v>37</v>
      </c>
      <c r="B180" s="32">
        <f t="shared" ref="B180:K180" si="158">$D11*B167</f>
        <v>36294819.539999999</v>
      </c>
      <c r="C180" s="32">
        <f t="shared" si="158"/>
        <v>36294819.539999999</v>
      </c>
      <c r="D180" s="32">
        <f t="shared" si="158"/>
        <v>36294819.539999999</v>
      </c>
      <c r="E180" s="32">
        <f t="shared" si="158"/>
        <v>36294819.539999999</v>
      </c>
      <c r="F180" s="32">
        <f t="shared" si="158"/>
        <v>36294819.539999999</v>
      </c>
      <c r="G180" s="32">
        <f t="shared" si="158"/>
        <v>36294819.539999999</v>
      </c>
      <c r="H180" s="32">
        <f t="shared" si="158"/>
        <v>36294819.539999999</v>
      </c>
      <c r="I180" s="32">
        <f t="shared" si="158"/>
        <v>36294819.539999999</v>
      </c>
      <c r="J180" s="32">
        <f t="shared" si="158"/>
        <v>36294819.539999999</v>
      </c>
      <c r="K180" s="32">
        <f t="shared" si="158"/>
        <v>36294819.539999999</v>
      </c>
      <c r="L180" s="5">
        <f t="shared" si="150"/>
        <v>36294819.540000007</v>
      </c>
    </row>
    <row r="181" spans="1:13" x14ac:dyDescent="0.25">
      <c r="A181" s="4" t="s">
        <v>38</v>
      </c>
      <c r="B181" s="32">
        <f t="shared" ref="B181:K181" si="159">$D12*B168</f>
        <v>1001394.4499999998</v>
      </c>
      <c r="C181" s="32">
        <f t="shared" si="159"/>
        <v>1001394.4499999998</v>
      </c>
      <c r="D181" s="32">
        <f t="shared" si="159"/>
        <v>1001394.4499999998</v>
      </c>
      <c r="E181" s="32">
        <f t="shared" si="159"/>
        <v>1001394.4499999998</v>
      </c>
      <c r="F181" s="32">
        <f t="shared" si="159"/>
        <v>1001394.4499999998</v>
      </c>
      <c r="G181" s="32">
        <f t="shared" si="159"/>
        <v>1001394.4499999998</v>
      </c>
      <c r="H181" s="32">
        <f t="shared" si="159"/>
        <v>1001394.4499999998</v>
      </c>
      <c r="I181" s="32">
        <f t="shared" si="159"/>
        <v>1001394.4499999998</v>
      </c>
      <c r="J181" s="32">
        <f t="shared" si="159"/>
        <v>1001394.4499999998</v>
      </c>
      <c r="K181" s="32">
        <f t="shared" si="159"/>
        <v>1001394.4499999998</v>
      </c>
      <c r="L181" s="5">
        <f t="shared" si="150"/>
        <v>1001394.4499999998</v>
      </c>
    </row>
    <row r="182" spans="1:13" x14ac:dyDescent="0.25">
      <c r="A182" s="4" t="s">
        <v>15</v>
      </c>
      <c r="B182" s="13">
        <f t="shared" ref="B182:K182" si="160">$D13*B169</f>
        <v>17344926.445833329</v>
      </c>
      <c r="C182" s="13">
        <f t="shared" si="160"/>
        <v>17344926.445833329</v>
      </c>
      <c r="D182" s="13">
        <f t="shared" si="160"/>
        <v>17344926.445833329</v>
      </c>
      <c r="E182" s="13">
        <f t="shared" si="160"/>
        <v>17344926.445833329</v>
      </c>
      <c r="F182" s="13">
        <f t="shared" si="160"/>
        <v>17344926.445833329</v>
      </c>
      <c r="G182" s="13">
        <f t="shared" si="160"/>
        <v>17344926.445833329</v>
      </c>
      <c r="H182" s="13">
        <f t="shared" si="160"/>
        <v>17344926.445833329</v>
      </c>
      <c r="I182" s="13">
        <f t="shared" si="160"/>
        <v>17344926.445833329</v>
      </c>
      <c r="J182" s="13">
        <f t="shared" si="160"/>
        <v>17344926.445833329</v>
      </c>
      <c r="K182" s="13">
        <f t="shared" si="160"/>
        <v>17344926.445833329</v>
      </c>
      <c r="L182" s="13">
        <f t="shared" si="150"/>
        <v>17344926.445833329</v>
      </c>
    </row>
    <row r="183" spans="1:13" x14ac:dyDescent="0.25">
      <c r="B183" s="5">
        <f t="shared" ref="B183:K183" si="161">SUM(B172:B182)</f>
        <v>101871633.40583332</v>
      </c>
      <c r="C183" s="5">
        <f t="shared" si="161"/>
        <v>101871633.40583332</v>
      </c>
      <c r="D183" s="5">
        <f t="shared" si="161"/>
        <v>101871633.40583332</v>
      </c>
      <c r="E183" s="5">
        <f t="shared" si="161"/>
        <v>101871633.40583332</v>
      </c>
      <c r="F183" s="5">
        <f t="shared" si="161"/>
        <v>101871633.40583332</v>
      </c>
      <c r="G183" s="5">
        <f t="shared" si="161"/>
        <v>101871633.40583332</v>
      </c>
      <c r="H183" s="5">
        <f t="shared" si="161"/>
        <v>101871633.40583332</v>
      </c>
      <c r="I183" s="5">
        <f t="shared" si="161"/>
        <v>101871633.40583332</v>
      </c>
      <c r="J183" s="5">
        <f t="shared" si="161"/>
        <v>101871633.40583332</v>
      </c>
      <c r="K183" s="5">
        <f t="shared" si="161"/>
        <v>101871633.40583332</v>
      </c>
      <c r="L183" s="5">
        <f t="shared" si="150"/>
        <v>101871633.40583333</v>
      </c>
      <c r="M183" s="62">
        <f>B183-SUM($D$3:$D$13)</f>
        <v>0</v>
      </c>
    </row>
    <row r="185" spans="1:13" x14ac:dyDescent="0.25">
      <c r="A185" s="59" t="s">
        <v>56</v>
      </c>
      <c r="L185" s="12" t="s">
        <v>28</v>
      </c>
    </row>
    <row r="186" spans="1:13" x14ac:dyDescent="0.25">
      <c r="A186" s="4" t="s">
        <v>35</v>
      </c>
      <c r="B186" s="14">
        <f>B172*B159*'Data inputs'!$B14</f>
        <v>10759622.827800002</v>
      </c>
      <c r="C186" s="14">
        <f>C172*C159*'Data inputs'!$B14</f>
        <v>10759622.827800002</v>
      </c>
      <c r="D186" s="14">
        <f>D172*D159*'Data inputs'!$B14</f>
        <v>10759622.827800002</v>
      </c>
      <c r="E186" s="14">
        <f>E172*E159*'Data inputs'!$B14</f>
        <v>10759622.827800002</v>
      </c>
      <c r="F186" s="14">
        <f>F172*F159*'Data inputs'!$B14</f>
        <v>10759622.827800002</v>
      </c>
      <c r="G186" s="14">
        <f>G172*G159*'Data inputs'!$B14</f>
        <v>10759622.827800002</v>
      </c>
      <c r="H186" s="14">
        <f>H172*H159*'Data inputs'!$B14</f>
        <v>10759622.827800002</v>
      </c>
      <c r="I186" s="14">
        <f>I172*I159*'Data inputs'!$B14</f>
        <v>10759622.827800002</v>
      </c>
      <c r="J186" s="14">
        <f>J172*J159*'Data inputs'!$B14</f>
        <v>10759622.827800002</v>
      </c>
      <c r="K186" s="14">
        <f>K172*K159*'Data inputs'!$B14</f>
        <v>10759622.827800002</v>
      </c>
      <c r="L186" s="5">
        <f t="shared" ref="L186:L197" si="162">AVERAGE(B186:K186)</f>
        <v>10759622.827800004</v>
      </c>
    </row>
    <row r="187" spans="1:13" x14ac:dyDescent="0.25">
      <c r="A187" s="4" t="s">
        <v>36</v>
      </c>
      <c r="B187" s="14">
        <f>B173*B160*'Data inputs'!$B15</f>
        <v>0</v>
      </c>
      <c r="C187" s="14">
        <f>C173*C160*'Data inputs'!$B15</f>
        <v>0</v>
      </c>
      <c r="D187" s="14">
        <f>D173*D160*'Data inputs'!$B15</f>
        <v>0</v>
      </c>
      <c r="E187" s="14">
        <f>E173*E160*'Data inputs'!$B15</f>
        <v>0</v>
      </c>
      <c r="F187" s="14">
        <f>F173*F160*'Data inputs'!$B15</f>
        <v>0</v>
      </c>
      <c r="G187" s="14">
        <f>G173*G160*'Data inputs'!$B15</f>
        <v>0</v>
      </c>
      <c r="H187" s="14">
        <f>H173*H160*'Data inputs'!$B15</f>
        <v>0</v>
      </c>
      <c r="I187" s="14">
        <f>I173*I160*'Data inputs'!$B15</f>
        <v>0</v>
      </c>
      <c r="J187" s="14">
        <f>J173*J160*'Data inputs'!$B15</f>
        <v>0</v>
      </c>
      <c r="K187" s="14">
        <f>K173*K160*'Data inputs'!$B15</f>
        <v>0</v>
      </c>
      <c r="L187" s="5">
        <f t="shared" si="162"/>
        <v>0</v>
      </c>
    </row>
    <row r="188" spans="1:13" x14ac:dyDescent="0.25">
      <c r="A188" s="4" t="s">
        <v>11</v>
      </c>
      <c r="B188" s="14">
        <f>B174*B161*'Data inputs'!$B16</f>
        <v>0</v>
      </c>
      <c r="C188" s="14">
        <f>C174*C161*'Data inputs'!$B16</f>
        <v>0</v>
      </c>
      <c r="D188" s="14">
        <f>D174*D161*'Data inputs'!$B16</f>
        <v>0</v>
      </c>
      <c r="E188" s="14">
        <f>E174*E161*'Data inputs'!$B16</f>
        <v>0</v>
      </c>
      <c r="F188" s="14">
        <f>F174*F161*'Data inputs'!$B16</f>
        <v>0</v>
      </c>
      <c r="G188" s="14">
        <f>G174*G161*'Data inputs'!$B16</f>
        <v>0</v>
      </c>
      <c r="H188" s="14">
        <f>H174*H161*'Data inputs'!$B16</f>
        <v>0</v>
      </c>
      <c r="I188" s="14">
        <f>I174*I161*'Data inputs'!$B16</f>
        <v>0</v>
      </c>
      <c r="J188" s="14">
        <f>J174*J161*'Data inputs'!$B16</f>
        <v>0</v>
      </c>
      <c r="K188" s="14">
        <f>K174*K161*'Data inputs'!$B16</f>
        <v>0</v>
      </c>
      <c r="L188" s="5">
        <f t="shared" si="162"/>
        <v>0</v>
      </c>
    </row>
    <row r="189" spans="1:13" x14ac:dyDescent="0.25">
      <c r="A189" s="4" t="s">
        <v>124</v>
      </c>
      <c r="B189" s="14">
        <f>B175*B162*'Data inputs'!$B17</f>
        <v>399999.99999999994</v>
      </c>
      <c r="C189" s="14">
        <f>C175*C162*'Data inputs'!$B17</f>
        <v>399999.99999999994</v>
      </c>
      <c r="D189" s="14">
        <f>D175*D162*'Data inputs'!$B17</f>
        <v>399999.99999999994</v>
      </c>
      <c r="E189" s="14">
        <f>E175*E162*'Data inputs'!$B17</f>
        <v>399999.99999999994</v>
      </c>
      <c r="F189" s="14">
        <f>F175*F162*'Data inputs'!$B17</f>
        <v>399999.99999999994</v>
      </c>
      <c r="G189" s="14">
        <f>G175*G162*'Data inputs'!$B17</f>
        <v>399999.99999999994</v>
      </c>
      <c r="H189" s="14">
        <f>H175*H162*'Data inputs'!$B17</f>
        <v>399999.99999999994</v>
      </c>
      <c r="I189" s="14">
        <f>I175*I162*'Data inputs'!$B17</f>
        <v>399999.99999999994</v>
      </c>
      <c r="J189" s="14">
        <f>J175*J162*'Data inputs'!$B17</f>
        <v>399999.99999999994</v>
      </c>
      <c r="K189" s="14">
        <f>K175*K162*'Data inputs'!$B17</f>
        <v>399999.99999999994</v>
      </c>
      <c r="L189" s="5">
        <f t="shared" si="162"/>
        <v>399999.99999999994</v>
      </c>
    </row>
    <row r="190" spans="1:13" x14ac:dyDescent="0.25">
      <c r="A190" s="4" t="s">
        <v>12</v>
      </c>
      <c r="B190" s="14">
        <f>B176*B163*'Data inputs'!$B18</f>
        <v>3275695.6830000002</v>
      </c>
      <c r="C190" s="14">
        <f>C176*C163*'Data inputs'!$B18</f>
        <v>3275695.6830000002</v>
      </c>
      <c r="D190" s="14">
        <f>D176*D163*'Data inputs'!$B18</f>
        <v>3275695.6830000002</v>
      </c>
      <c r="E190" s="14">
        <f>E176*E163*'Data inputs'!$B18</f>
        <v>3275695.6830000002</v>
      </c>
      <c r="F190" s="14">
        <f>F176*F163*'Data inputs'!$B18</f>
        <v>3275695.6830000002</v>
      </c>
      <c r="G190" s="14">
        <f>G176*G163*'Data inputs'!$B18</f>
        <v>3275695.6830000002</v>
      </c>
      <c r="H190" s="14">
        <f>H176*H163*'Data inputs'!$B18</f>
        <v>3275695.6830000002</v>
      </c>
      <c r="I190" s="14">
        <f>I176*I163*'Data inputs'!$B18</f>
        <v>3275695.6830000002</v>
      </c>
      <c r="J190" s="14">
        <f>J176*J163*'Data inputs'!$B18</f>
        <v>3275695.6830000002</v>
      </c>
      <c r="K190" s="14">
        <f>K176*K163*'Data inputs'!$B18</f>
        <v>3275695.6830000002</v>
      </c>
      <c r="L190" s="5">
        <f t="shared" si="162"/>
        <v>3275695.6829999997</v>
      </c>
    </row>
    <row r="191" spans="1:13" x14ac:dyDescent="0.25">
      <c r="A191" s="4" t="s">
        <v>13</v>
      </c>
      <c r="B191" s="14">
        <f>B177*B164*'Data inputs'!$B19</f>
        <v>0</v>
      </c>
      <c r="C191" s="14">
        <f>C177*C164*'Data inputs'!$B19</f>
        <v>0</v>
      </c>
      <c r="D191" s="14">
        <f>D177*D164*'Data inputs'!$B19</f>
        <v>0</v>
      </c>
      <c r="E191" s="14">
        <f>E177*E164*'Data inputs'!$B19</f>
        <v>0</v>
      </c>
      <c r="F191" s="14">
        <f>F177*F164*'Data inputs'!$B19</f>
        <v>0</v>
      </c>
      <c r="G191" s="14">
        <f>G177*G164*'Data inputs'!$B19</f>
        <v>0</v>
      </c>
      <c r="H191" s="14">
        <f>H177*H164*'Data inputs'!$B19</f>
        <v>0</v>
      </c>
      <c r="I191" s="14">
        <f>I177*I164*'Data inputs'!$B19</f>
        <v>0</v>
      </c>
      <c r="J191" s="14">
        <f>J177*J164*'Data inputs'!$B19</f>
        <v>0</v>
      </c>
      <c r="K191" s="14">
        <f>K177*K164*'Data inputs'!$B19</f>
        <v>0</v>
      </c>
      <c r="L191" s="5">
        <f t="shared" si="162"/>
        <v>0</v>
      </c>
    </row>
    <row r="192" spans="1:13" x14ac:dyDescent="0.25">
      <c r="A192" s="4" t="s">
        <v>14</v>
      </c>
      <c r="B192" s="14">
        <f>B178*B165*'Data inputs'!$B20</f>
        <v>0</v>
      </c>
      <c r="C192" s="14">
        <f>C178*C165*'Data inputs'!$B20</f>
        <v>0</v>
      </c>
      <c r="D192" s="14">
        <f>D178*D165*'Data inputs'!$B20</f>
        <v>0</v>
      </c>
      <c r="E192" s="14">
        <f>E178*E165*'Data inputs'!$B20</f>
        <v>0</v>
      </c>
      <c r="F192" s="14">
        <f>F178*F165*'Data inputs'!$B20</f>
        <v>0</v>
      </c>
      <c r="G192" s="14">
        <f>G178*G165*'Data inputs'!$B20</f>
        <v>0</v>
      </c>
      <c r="H192" s="14">
        <f>H178*H165*'Data inputs'!$B20</f>
        <v>0</v>
      </c>
      <c r="I192" s="14">
        <f>I178*I165*'Data inputs'!$B20</f>
        <v>0</v>
      </c>
      <c r="J192" s="14">
        <f>J178*J165*'Data inputs'!$B20</f>
        <v>0</v>
      </c>
      <c r="K192" s="14">
        <f>K178*K165*'Data inputs'!$B20</f>
        <v>0</v>
      </c>
      <c r="L192" s="5">
        <f t="shared" si="162"/>
        <v>0</v>
      </c>
    </row>
    <row r="193" spans="1:12" x14ac:dyDescent="0.25">
      <c r="A193" s="4" t="s">
        <v>125</v>
      </c>
      <c r="B193" s="14">
        <f>B179*B166*'Data inputs'!$B21</f>
        <v>0</v>
      </c>
      <c r="C193" s="14">
        <f>C179*C166*'Data inputs'!$B21</f>
        <v>0</v>
      </c>
      <c r="D193" s="14">
        <f>D179*D166*'Data inputs'!$B21</f>
        <v>0</v>
      </c>
      <c r="E193" s="14">
        <f>E179*E166*'Data inputs'!$B21</f>
        <v>0</v>
      </c>
      <c r="F193" s="14">
        <f>F179*F166*'Data inputs'!$B21</f>
        <v>0</v>
      </c>
      <c r="G193" s="14">
        <f>G179*G166*'Data inputs'!$B21</f>
        <v>0</v>
      </c>
      <c r="H193" s="14">
        <f>H179*H166*'Data inputs'!$B21</f>
        <v>0</v>
      </c>
      <c r="I193" s="14">
        <f>I179*I166*'Data inputs'!$B21</f>
        <v>0</v>
      </c>
      <c r="J193" s="14">
        <f>J179*J166*'Data inputs'!$B21</f>
        <v>0</v>
      </c>
      <c r="K193" s="14">
        <f>K179*K166*'Data inputs'!$B21</f>
        <v>0</v>
      </c>
      <c r="L193" s="5">
        <f t="shared" si="162"/>
        <v>0</v>
      </c>
    </row>
    <row r="194" spans="1:12" x14ac:dyDescent="0.25">
      <c r="A194" s="4" t="s">
        <v>37</v>
      </c>
      <c r="B194" s="14">
        <f>B180*B167*'Data inputs'!$B22</f>
        <v>22865736.310199998</v>
      </c>
      <c r="C194" s="14">
        <f>C180*C167*'Data inputs'!$B22</f>
        <v>22865736.310199998</v>
      </c>
      <c r="D194" s="14">
        <f>D180*D167*'Data inputs'!$B22</f>
        <v>22865736.310199998</v>
      </c>
      <c r="E194" s="14">
        <f>E180*E167*'Data inputs'!$B22</f>
        <v>22865736.310199998</v>
      </c>
      <c r="F194" s="14">
        <f>F180*F167*'Data inputs'!$B22</f>
        <v>22865736.310199998</v>
      </c>
      <c r="G194" s="14">
        <f>G180*G167*'Data inputs'!$B22</f>
        <v>22865736.310199998</v>
      </c>
      <c r="H194" s="14">
        <f>H180*H167*'Data inputs'!$B22</f>
        <v>22865736.310199998</v>
      </c>
      <c r="I194" s="14">
        <f>I180*I167*'Data inputs'!$B22</f>
        <v>22865736.310199998</v>
      </c>
      <c r="J194" s="14">
        <f>J180*J167*'Data inputs'!$B22</f>
        <v>22865736.310199998</v>
      </c>
      <c r="K194" s="14">
        <f>K180*K167*'Data inputs'!$B22</f>
        <v>22865736.310199998</v>
      </c>
      <c r="L194" s="5">
        <f t="shared" si="162"/>
        <v>22865736.310200002</v>
      </c>
    </row>
    <row r="195" spans="1:12" x14ac:dyDescent="0.25">
      <c r="A195" s="4" t="s">
        <v>38</v>
      </c>
      <c r="B195" s="14">
        <f>B181*B168*'Data inputs'!$B23</f>
        <v>100139.44499999999</v>
      </c>
      <c r="C195" s="14">
        <f>C181*C168*'Data inputs'!$B23</f>
        <v>100139.44499999999</v>
      </c>
      <c r="D195" s="14">
        <f>D181*D168*'Data inputs'!$B23</f>
        <v>100139.44499999999</v>
      </c>
      <c r="E195" s="14">
        <f>E181*E168*'Data inputs'!$B23</f>
        <v>100139.44499999999</v>
      </c>
      <c r="F195" s="14">
        <f>F181*F168*'Data inputs'!$B23</f>
        <v>100139.44499999999</v>
      </c>
      <c r="G195" s="14">
        <f>G181*G168*'Data inputs'!$B23</f>
        <v>100139.44499999999</v>
      </c>
      <c r="H195" s="14">
        <f>H181*H168*'Data inputs'!$B23</f>
        <v>100139.44499999999</v>
      </c>
      <c r="I195" s="14">
        <f>I181*I168*'Data inputs'!$B23</f>
        <v>100139.44499999999</v>
      </c>
      <c r="J195" s="14">
        <f>J181*J168*'Data inputs'!$B23</f>
        <v>100139.44499999999</v>
      </c>
      <c r="K195" s="14">
        <f>K181*K168*'Data inputs'!$B23</f>
        <v>100139.44499999999</v>
      </c>
      <c r="L195" s="5">
        <f t="shared" si="162"/>
        <v>100139.44499999998</v>
      </c>
    </row>
    <row r="196" spans="1:12" x14ac:dyDescent="0.25">
      <c r="A196" s="4" t="s">
        <v>15</v>
      </c>
      <c r="B196" s="60">
        <f>B182*B169*'Data inputs'!$B24</f>
        <v>6937970.5783333322</v>
      </c>
      <c r="C196" s="60">
        <f>C182*C169*'Data inputs'!$B24</f>
        <v>6937970.5783333322</v>
      </c>
      <c r="D196" s="60">
        <f>D182*D169*'Data inputs'!$B24</f>
        <v>6937970.5783333322</v>
      </c>
      <c r="E196" s="60">
        <f>E182*E169*'Data inputs'!$B24</f>
        <v>6937970.5783333322</v>
      </c>
      <c r="F196" s="60">
        <f>F182*F169*'Data inputs'!$B24</f>
        <v>6937970.5783333322</v>
      </c>
      <c r="G196" s="60">
        <f>G182*G169*'Data inputs'!$B24</f>
        <v>6937970.5783333322</v>
      </c>
      <c r="H196" s="60">
        <f>H182*H169*'Data inputs'!$B24</f>
        <v>6937970.5783333322</v>
      </c>
      <c r="I196" s="60">
        <f>I182*I169*'Data inputs'!$B24</f>
        <v>6937970.5783333322</v>
      </c>
      <c r="J196" s="60">
        <f>J182*J169*'Data inputs'!$B24</f>
        <v>6937970.5783333322</v>
      </c>
      <c r="K196" s="60">
        <f>K182*K169*'Data inputs'!$B24</f>
        <v>6937970.5783333322</v>
      </c>
      <c r="L196" s="13">
        <f t="shared" si="162"/>
        <v>6937970.5783333313</v>
      </c>
    </row>
    <row r="197" spans="1:12" x14ac:dyDescent="0.25">
      <c r="B197" s="14">
        <f>SUM(B186:B196)</f>
        <v>44339164.844333336</v>
      </c>
      <c r="C197" s="14">
        <f t="shared" ref="C197" si="163">SUM(C186:C196)</f>
        <v>44339164.844333336</v>
      </c>
      <c r="D197" s="14">
        <f t="shared" ref="D197" si="164">SUM(D186:D196)</f>
        <v>44339164.844333336</v>
      </c>
      <c r="E197" s="14">
        <f t="shared" ref="E197" si="165">SUM(E186:E196)</f>
        <v>44339164.844333336</v>
      </c>
      <c r="F197" s="14">
        <f t="shared" ref="F197" si="166">SUM(F186:F196)</f>
        <v>44339164.844333336</v>
      </c>
      <c r="G197" s="14">
        <f t="shared" ref="G197" si="167">SUM(G186:G196)</f>
        <v>44339164.844333336</v>
      </c>
      <c r="H197" s="14">
        <f t="shared" ref="H197" si="168">SUM(H186:H196)</f>
        <v>44339164.844333336</v>
      </c>
      <c r="I197" s="14">
        <f t="shared" ref="I197" si="169">SUM(I186:I196)</f>
        <v>44339164.844333336</v>
      </c>
      <c r="J197" s="14">
        <f t="shared" ref="J197" si="170">SUM(J186:J196)</f>
        <v>44339164.844333336</v>
      </c>
      <c r="K197" s="14">
        <f t="shared" ref="K197" si="171">SUM(K186:K196)</f>
        <v>44339164.844333336</v>
      </c>
      <c r="L197" s="5">
        <f t="shared" si="162"/>
        <v>44339164.844333343</v>
      </c>
    </row>
    <row r="198" spans="1:12" x14ac:dyDescent="0.25">
      <c r="B198" s="16">
        <f>B197/B$183</f>
        <v>0.43524544921839264</v>
      </c>
      <c r="C198" s="16">
        <f t="shared" ref="C198:K198" si="172">C197/C$183</f>
        <v>0.43524544921839264</v>
      </c>
      <c r="D198" s="16">
        <f t="shared" si="172"/>
        <v>0.43524544921839264</v>
      </c>
      <c r="E198" s="16">
        <f t="shared" si="172"/>
        <v>0.43524544921839264</v>
      </c>
      <c r="F198" s="16">
        <f t="shared" si="172"/>
        <v>0.43524544921839264</v>
      </c>
      <c r="G198" s="16">
        <f t="shared" si="172"/>
        <v>0.43524544921839264</v>
      </c>
      <c r="H198" s="16">
        <f t="shared" si="172"/>
        <v>0.43524544921839264</v>
      </c>
      <c r="I198" s="16">
        <f t="shared" si="172"/>
        <v>0.43524544921839264</v>
      </c>
      <c r="J198" s="16">
        <f t="shared" si="172"/>
        <v>0.43524544921839264</v>
      </c>
      <c r="K198" s="16">
        <f t="shared" si="172"/>
        <v>0.43524544921839264</v>
      </c>
    </row>
    <row r="199" spans="1:12" x14ac:dyDescent="0.25">
      <c r="B199" s="16"/>
      <c r="C199" s="16"/>
      <c r="D199" s="16"/>
      <c r="E199" s="16"/>
      <c r="F199" s="16"/>
      <c r="G199" s="16"/>
      <c r="H199" s="16"/>
      <c r="I199" s="16"/>
      <c r="J199" s="16"/>
      <c r="K199" s="16"/>
    </row>
    <row r="200" spans="1:12" x14ac:dyDescent="0.25">
      <c r="A200" s="59" t="s">
        <v>57</v>
      </c>
      <c r="L200" s="12" t="s">
        <v>28</v>
      </c>
    </row>
    <row r="201" spans="1:12" x14ac:dyDescent="0.25">
      <c r="A201" s="4" t="s">
        <v>35</v>
      </c>
      <c r="B201" s="14">
        <f>B172*B159*'Data inputs'!$C14</f>
        <v>7964915.5998000018</v>
      </c>
      <c r="C201" s="14">
        <f>C172*C159*'Data inputs'!$C14</f>
        <v>7964915.5998000018</v>
      </c>
      <c r="D201" s="14">
        <f>D172*D159*'Data inputs'!$C14</f>
        <v>7964915.5998000018</v>
      </c>
      <c r="E201" s="14">
        <f>E172*E159*'Data inputs'!$C14</f>
        <v>7964915.5998000018</v>
      </c>
      <c r="F201" s="14">
        <f>F172*F159*'Data inputs'!$C14</f>
        <v>7964915.5998000018</v>
      </c>
      <c r="G201" s="14">
        <f>G172*G159*'Data inputs'!$C14</f>
        <v>7964915.5998000018</v>
      </c>
      <c r="H201" s="14">
        <f>H172*H159*'Data inputs'!$C14</f>
        <v>7964915.5998000018</v>
      </c>
      <c r="I201" s="14">
        <f>I172*I159*'Data inputs'!$C14</f>
        <v>7964915.5998000018</v>
      </c>
      <c r="J201" s="14">
        <f>J172*J159*'Data inputs'!$C14</f>
        <v>7964915.5998000018</v>
      </c>
      <c r="K201" s="14">
        <f>K172*K159*'Data inputs'!$C14</f>
        <v>7964915.5998000018</v>
      </c>
      <c r="L201" s="5">
        <f t="shared" ref="L201:L212" si="173">AVERAGE(B201:K201)</f>
        <v>7964915.5998000037</v>
      </c>
    </row>
    <row r="202" spans="1:12" x14ac:dyDescent="0.25">
      <c r="A202" s="4" t="s">
        <v>36</v>
      </c>
      <c r="B202" s="14">
        <f>B173*B160*'Data inputs'!$C15</f>
        <v>0</v>
      </c>
      <c r="C202" s="14">
        <f>C173*C160*'Data inputs'!$C15</f>
        <v>0</v>
      </c>
      <c r="D202" s="14">
        <f>D173*D160*'Data inputs'!$C15</f>
        <v>0</v>
      </c>
      <c r="E202" s="14">
        <f>E173*E160*'Data inputs'!$C15</f>
        <v>0</v>
      </c>
      <c r="F202" s="14">
        <f>F173*F160*'Data inputs'!$C15</f>
        <v>0</v>
      </c>
      <c r="G202" s="14">
        <f>G173*G160*'Data inputs'!$C15</f>
        <v>0</v>
      </c>
      <c r="H202" s="14">
        <f>H173*H160*'Data inputs'!$C15</f>
        <v>0</v>
      </c>
      <c r="I202" s="14">
        <f>I173*I160*'Data inputs'!$C15</f>
        <v>0</v>
      </c>
      <c r="J202" s="14">
        <f>J173*J160*'Data inputs'!$C15</f>
        <v>0</v>
      </c>
      <c r="K202" s="14">
        <f>K173*K160*'Data inputs'!$C15</f>
        <v>0</v>
      </c>
      <c r="L202" s="5">
        <f t="shared" si="173"/>
        <v>0</v>
      </c>
    </row>
    <row r="203" spans="1:12" x14ac:dyDescent="0.25">
      <c r="A203" s="4" t="s">
        <v>11</v>
      </c>
      <c r="B203" s="14">
        <f>B174*B161*'Data inputs'!$C16</f>
        <v>0</v>
      </c>
      <c r="C203" s="14">
        <f>C174*C161*'Data inputs'!$C16</f>
        <v>0</v>
      </c>
      <c r="D203" s="14">
        <f>D174*D161*'Data inputs'!$C16</f>
        <v>0</v>
      </c>
      <c r="E203" s="14">
        <f>E174*E161*'Data inputs'!$C16</f>
        <v>0</v>
      </c>
      <c r="F203" s="14">
        <f>F174*F161*'Data inputs'!$C16</f>
        <v>0</v>
      </c>
      <c r="G203" s="14">
        <f>G174*G161*'Data inputs'!$C16</f>
        <v>0</v>
      </c>
      <c r="H203" s="14">
        <f>H174*H161*'Data inputs'!$C16</f>
        <v>0</v>
      </c>
      <c r="I203" s="14">
        <f>I174*I161*'Data inputs'!$C16</f>
        <v>0</v>
      </c>
      <c r="J203" s="14">
        <f>J174*J161*'Data inputs'!$C16</f>
        <v>0</v>
      </c>
      <c r="K203" s="14">
        <f>K174*K161*'Data inputs'!$C16</f>
        <v>0</v>
      </c>
      <c r="L203" s="5">
        <f t="shared" si="173"/>
        <v>0</v>
      </c>
    </row>
    <row r="204" spans="1:12" x14ac:dyDescent="0.25">
      <c r="A204" s="4" t="s">
        <v>124</v>
      </c>
      <c r="B204" s="14">
        <f>B175*B162*'Data inputs'!$C17</f>
        <v>300000</v>
      </c>
      <c r="C204" s="14">
        <f>C175*C162*'Data inputs'!$C17</f>
        <v>300000</v>
      </c>
      <c r="D204" s="14">
        <f>D175*D162*'Data inputs'!$C17</f>
        <v>300000</v>
      </c>
      <c r="E204" s="14">
        <f>E175*E162*'Data inputs'!$C17</f>
        <v>300000</v>
      </c>
      <c r="F204" s="14">
        <f>F175*F162*'Data inputs'!$C17</f>
        <v>300000</v>
      </c>
      <c r="G204" s="14">
        <f>G175*G162*'Data inputs'!$C17</f>
        <v>300000</v>
      </c>
      <c r="H204" s="14">
        <f>H175*H162*'Data inputs'!$C17</f>
        <v>300000</v>
      </c>
      <c r="I204" s="14">
        <f>I175*I162*'Data inputs'!$C17</f>
        <v>300000</v>
      </c>
      <c r="J204" s="14">
        <f>J175*J162*'Data inputs'!$C17</f>
        <v>300000</v>
      </c>
      <c r="K204" s="14">
        <f>K175*K162*'Data inputs'!$C17</f>
        <v>300000</v>
      </c>
      <c r="L204" s="5">
        <f t="shared" si="173"/>
        <v>300000</v>
      </c>
    </row>
    <row r="205" spans="1:12" x14ac:dyDescent="0.25">
      <c r="A205" s="4" t="s">
        <v>12</v>
      </c>
      <c r="B205" s="14">
        <f>B176*B163*'Data inputs'!$C18</f>
        <v>0</v>
      </c>
      <c r="C205" s="14">
        <f>C176*C163*'Data inputs'!$C18</f>
        <v>0</v>
      </c>
      <c r="D205" s="14">
        <f>D176*D163*'Data inputs'!$C18</f>
        <v>0</v>
      </c>
      <c r="E205" s="14">
        <f>E176*E163*'Data inputs'!$C18</f>
        <v>0</v>
      </c>
      <c r="F205" s="14">
        <f>F176*F163*'Data inputs'!$C18</f>
        <v>0</v>
      </c>
      <c r="G205" s="14">
        <f>G176*G163*'Data inputs'!$C18</f>
        <v>0</v>
      </c>
      <c r="H205" s="14">
        <f>H176*H163*'Data inputs'!$C18</f>
        <v>0</v>
      </c>
      <c r="I205" s="14">
        <f>I176*I163*'Data inputs'!$C18</f>
        <v>0</v>
      </c>
      <c r="J205" s="14">
        <f>J176*J163*'Data inputs'!$C18</f>
        <v>0</v>
      </c>
      <c r="K205" s="14">
        <f>K176*K163*'Data inputs'!$C18</f>
        <v>0</v>
      </c>
      <c r="L205" s="5">
        <f t="shared" si="173"/>
        <v>0</v>
      </c>
    </row>
    <row r="206" spans="1:12" x14ac:dyDescent="0.25">
      <c r="A206" s="4" t="s">
        <v>13</v>
      </c>
      <c r="B206" s="14">
        <f>B177*B164*'Data inputs'!$C19</f>
        <v>0</v>
      </c>
      <c r="C206" s="14">
        <f>C177*C164*'Data inputs'!$C19</f>
        <v>0</v>
      </c>
      <c r="D206" s="14">
        <f>D177*D164*'Data inputs'!$C19</f>
        <v>0</v>
      </c>
      <c r="E206" s="14">
        <f>E177*E164*'Data inputs'!$C19</f>
        <v>0</v>
      </c>
      <c r="F206" s="14">
        <f>F177*F164*'Data inputs'!$C19</f>
        <v>0</v>
      </c>
      <c r="G206" s="14">
        <f>G177*G164*'Data inputs'!$C19</f>
        <v>0</v>
      </c>
      <c r="H206" s="14">
        <f>H177*H164*'Data inputs'!$C19</f>
        <v>0</v>
      </c>
      <c r="I206" s="14">
        <f>I177*I164*'Data inputs'!$C19</f>
        <v>0</v>
      </c>
      <c r="J206" s="14">
        <f>J177*J164*'Data inputs'!$C19</f>
        <v>0</v>
      </c>
      <c r="K206" s="14">
        <f>K177*K164*'Data inputs'!$C19</f>
        <v>0</v>
      </c>
      <c r="L206" s="5">
        <f t="shared" si="173"/>
        <v>0</v>
      </c>
    </row>
    <row r="207" spans="1:12" x14ac:dyDescent="0.25">
      <c r="A207" s="4" t="s">
        <v>14</v>
      </c>
      <c r="B207" s="14">
        <f>B178*B165*'Data inputs'!$C20</f>
        <v>0</v>
      </c>
      <c r="C207" s="14">
        <f>C178*C165*'Data inputs'!$C20</f>
        <v>0</v>
      </c>
      <c r="D207" s="14">
        <f>D178*D165*'Data inputs'!$C20</f>
        <v>0</v>
      </c>
      <c r="E207" s="14">
        <f>E178*E165*'Data inputs'!$C20</f>
        <v>0</v>
      </c>
      <c r="F207" s="14">
        <f>F178*F165*'Data inputs'!$C20</f>
        <v>0</v>
      </c>
      <c r="G207" s="14">
        <f>G178*G165*'Data inputs'!$C20</f>
        <v>0</v>
      </c>
      <c r="H207" s="14">
        <f>H178*H165*'Data inputs'!$C20</f>
        <v>0</v>
      </c>
      <c r="I207" s="14">
        <f>I178*I165*'Data inputs'!$C20</f>
        <v>0</v>
      </c>
      <c r="J207" s="14">
        <f>J178*J165*'Data inputs'!$C20</f>
        <v>0</v>
      </c>
      <c r="K207" s="14">
        <f>K178*K165*'Data inputs'!$C20</f>
        <v>0</v>
      </c>
      <c r="L207" s="5">
        <f t="shared" si="173"/>
        <v>0</v>
      </c>
    </row>
    <row r="208" spans="1:12" x14ac:dyDescent="0.25">
      <c r="A208" s="4" t="s">
        <v>125</v>
      </c>
      <c r="B208" s="14">
        <f>B179*B166*'Data inputs'!$C21</f>
        <v>0</v>
      </c>
      <c r="C208" s="14">
        <f>C179*C166*'Data inputs'!$C21</f>
        <v>0</v>
      </c>
      <c r="D208" s="14">
        <f>D179*D166*'Data inputs'!$C21</f>
        <v>0</v>
      </c>
      <c r="E208" s="14">
        <f>E179*E166*'Data inputs'!$C21</f>
        <v>0</v>
      </c>
      <c r="F208" s="14">
        <f>F179*F166*'Data inputs'!$C21</f>
        <v>0</v>
      </c>
      <c r="G208" s="14">
        <f>G179*G166*'Data inputs'!$C21</f>
        <v>0</v>
      </c>
      <c r="H208" s="14">
        <f>H179*H166*'Data inputs'!$C21</f>
        <v>0</v>
      </c>
      <c r="I208" s="14">
        <f>I179*I166*'Data inputs'!$C21</f>
        <v>0</v>
      </c>
      <c r="J208" s="14">
        <f>J179*J166*'Data inputs'!$C21</f>
        <v>0</v>
      </c>
      <c r="K208" s="14">
        <f>K179*K166*'Data inputs'!$C21</f>
        <v>0</v>
      </c>
      <c r="L208" s="5">
        <f t="shared" si="173"/>
        <v>0</v>
      </c>
    </row>
    <row r="209" spans="1:12" x14ac:dyDescent="0.25">
      <c r="A209" s="4" t="s">
        <v>37</v>
      </c>
      <c r="B209" s="14">
        <f>B180*B167*'Data inputs'!$C22</f>
        <v>15606772.402200002</v>
      </c>
      <c r="C209" s="14">
        <f>C180*C167*'Data inputs'!$C22</f>
        <v>15606772.402200002</v>
      </c>
      <c r="D209" s="14">
        <f>D180*D167*'Data inputs'!$C22</f>
        <v>15606772.402200002</v>
      </c>
      <c r="E209" s="14">
        <f>E180*E167*'Data inputs'!$C22</f>
        <v>15606772.402200002</v>
      </c>
      <c r="F209" s="14">
        <f>F180*F167*'Data inputs'!$C22</f>
        <v>15606772.402200002</v>
      </c>
      <c r="G209" s="14">
        <f>G180*G167*'Data inputs'!$C22</f>
        <v>15606772.402200002</v>
      </c>
      <c r="H209" s="14">
        <f>H180*H167*'Data inputs'!$C22</f>
        <v>15606772.402200002</v>
      </c>
      <c r="I209" s="14">
        <f>I180*I167*'Data inputs'!$C22</f>
        <v>15606772.402200002</v>
      </c>
      <c r="J209" s="14">
        <f>J180*J167*'Data inputs'!$C22</f>
        <v>15606772.402200002</v>
      </c>
      <c r="K209" s="14">
        <f>K180*K167*'Data inputs'!$C22</f>
        <v>15606772.402200002</v>
      </c>
      <c r="L209" s="5">
        <f t="shared" si="173"/>
        <v>15606772.402200002</v>
      </c>
    </row>
    <row r="210" spans="1:12" x14ac:dyDescent="0.25">
      <c r="A210" s="4" t="s">
        <v>38</v>
      </c>
      <c r="B210" s="14">
        <f>B181*B168*'Data inputs'!$C23</f>
        <v>0</v>
      </c>
      <c r="C210" s="14">
        <f>C181*C168*'Data inputs'!$C23</f>
        <v>0</v>
      </c>
      <c r="D210" s="14">
        <f>D181*D168*'Data inputs'!$C23</f>
        <v>0</v>
      </c>
      <c r="E210" s="14">
        <f>E181*E168*'Data inputs'!$C23</f>
        <v>0</v>
      </c>
      <c r="F210" s="14">
        <f>F181*F168*'Data inputs'!$C23</f>
        <v>0</v>
      </c>
      <c r="G210" s="14">
        <f>G181*G168*'Data inputs'!$C23</f>
        <v>0</v>
      </c>
      <c r="H210" s="14">
        <f>H181*H168*'Data inputs'!$C23</f>
        <v>0</v>
      </c>
      <c r="I210" s="14">
        <f>I181*I168*'Data inputs'!$C23</f>
        <v>0</v>
      </c>
      <c r="J210" s="14">
        <f>J181*J168*'Data inputs'!$C23</f>
        <v>0</v>
      </c>
      <c r="K210" s="14">
        <f>K181*K168*'Data inputs'!$C23</f>
        <v>0</v>
      </c>
      <c r="L210" s="5">
        <f t="shared" si="173"/>
        <v>0</v>
      </c>
    </row>
    <row r="211" spans="1:12" x14ac:dyDescent="0.25">
      <c r="A211" s="4" t="s">
        <v>15</v>
      </c>
      <c r="B211" s="60">
        <f>B182*B169*'Data inputs'!$C24</f>
        <v>3468985.2891666656</v>
      </c>
      <c r="C211" s="60">
        <f>C182*C169*'Data inputs'!$C24</f>
        <v>3468985.2891666656</v>
      </c>
      <c r="D211" s="60">
        <f>D182*D169*'Data inputs'!$C24</f>
        <v>3468985.2891666656</v>
      </c>
      <c r="E211" s="60">
        <f>E182*E169*'Data inputs'!$C24</f>
        <v>3468985.2891666656</v>
      </c>
      <c r="F211" s="60">
        <f>F182*F169*'Data inputs'!$C24</f>
        <v>3468985.2891666656</v>
      </c>
      <c r="G211" s="60">
        <f>G182*G169*'Data inputs'!$C24</f>
        <v>3468985.2891666656</v>
      </c>
      <c r="H211" s="60">
        <f>H182*H169*'Data inputs'!$C24</f>
        <v>3468985.2891666656</v>
      </c>
      <c r="I211" s="60">
        <f>I182*I169*'Data inputs'!$C24</f>
        <v>3468985.2891666656</v>
      </c>
      <c r="J211" s="60">
        <f>J182*J169*'Data inputs'!$C24</f>
        <v>3468985.2891666656</v>
      </c>
      <c r="K211" s="60">
        <f>K182*K169*'Data inputs'!$C24</f>
        <v>3468985.2891666656</v>
      </c>
      <c r="L211" s="13">
        <f t="shared" si="173"/>
        <v>3468985.2891666656</v>
      </c>
    </row>
    <row r="212" spans="1:12" x14ac:dyDescent="0.25">
      <c r="B212" s="14">
        <f>SUM(B201:B211)</f>
        <v>27340673.291166671</v>
      </c>
      <c r="C212" s="14">
        <f t="shared" ref="C212" si="174">SUM(C201:C211)</f>
        <v>27340673.291166671</v>
      </c>
      <c r="D212" s="14">
        <f t="shared" ref="D212" si="175">SUM(D201:D211)</f>
        <v>27340673.291166671</v>
      </c>
      <c r="E212" s="14">
        <f t="shared" ref="E212" si="176">SUM(E201:E211)</f>
        <v>27340673.291166671</v>
      </c>
      <c r="F212" s="14">
        <f t="shared" ref="F212" si="177">SUM(F201:F211)</f>
        <v>27340673.291166671</v>
      </c>
      <c r="G212" s="14">
        <f t="shared" ref="G212" si="178">SUM(G201:G211)</f>
        <v>27340673.291166671</v>
      </c>
      <c r="H212" s="14">
        <f t="shared" ref="H212" si="179">SUM(H201:H211)</f>
        <v>27340673.291166671</v>
      </c>
      <c r="I212" s="14">
        <f t="shared" ref="I212" si="180">SUM(I201:I211)</f>
        <v>27340673.291166671</v>
      </c>
      <c r="J212" s="14">
        <f t="shared" ref="J212" si="181">SUM(J201:J211)</f>
        <v>27340673.291166671</v>
      </c>
      <c r="K212" s="14">
        <f t="shared" ref="K212" si="182">SUM(K201:K211)</f>
        <v>27340673.291166671</v>
      </c>
      <c r="L212" s="5">
        <f t="shared" si="173"/>
        <v>27340673.291166671</v>
      </c>
    </row>
    <row r="213" spans="1:12" x14ac:dyDescent="0.25">
      <c r="B213" s="16">
        <f>B212/B$183</f>
        <v>0.2683835762429338</v>
      </c>
      <c r="C213" s="16">
        <f t="shared" ref="C213" si="183">C212/C$183</f>
        <v>0.2683835762429338</v>
      </c>
      <c r="D213" s="16">
        <f t="shared" ref="D213" si="184">D212/D$183</f>
        <v>0.2683835762429338</v>
      </c>
      <c r="E213" s="16">
        <f t="shared" ref="E213" si="185">E212/E$183</f>
        <v>0.2683835762429338</v>
      </c>
      <c r="F213" s="16">
        <f t="shared" ref="F213" si="186">F212/F$183</f>
        <v>0.2683835762429338</v>
      </c>
      <c r="G213" s="16">
        <f t="shared" ref="G213" si="187">G212/G$183</f>
        <v>0.2683835762429338</v>
      </c>
      <c r="H213" s="16">
        <f t="shared" ref="H213" si="188">H212/H$183</f>
        <v>0.2683835762429338</v>
      </c>
      <c r="I213" s="16">
        <f t="shared" ref="I213" si="189">I212/I$183</f>
        <v>0.2683835762429338</v>
      </c>
      <c r="J213" s="16">
        <f t="shared" ref="J213" si="190">J212/J$183</f>
        <v>0.2683835762429338</v>
      </c>
      <c r="K213" s="16">
        <f t="shared" ref="K213" si="191">K212/K$183</f>
        <v>0.2683835762429338</v>
      </c>
    </row>
    <row r="214" spans="1:12" x14ac:dyDescent="0.25">
      <c r="A214" s="61" t="s">
        <v>58</v>
      </c>
      <c r="B214" s="18"/>
      <c r="C214" s="48"/>
      <c r="D214" s="48"/>
      <c r="E214" s="48"/>
      <c r="F214" s="48"/>
      <c r="G214" s="48"/>
      <c r="H214" s="48"/>
      <c r="I214" s="48"/>
      <c r="J214" s="48"/>
      <c r="K214" s="48"/>
    </row>
    <row r="215" spans="1:12" x14ac:dyDescent="0.25">
      <c r="A215" s="20" t="s">
        <v>35</v>
      </c>
      <c r="B215" s="5">
        <f t="shared" ref="B215:B225" si="192">(B201+B186)/2</f>
        <v>9362269.2138000019</v>
      </c>
      <c r="C215" s="5">
        <f t="shared" ref="C215:K215" si="193">(C201+C186)/2</f>
        <v>9362269.2138000019</v>
      </c>
      <c r="D215" s="5">
        <f t="shared" si="193"/>
        <v>9362269.2138000019</v>
      </c>
      <c r="E215" s="5">
        <f t="shared" si="193"/>
        <v>9362269.2138000019</v>
      </c>
      <c r="F215" s="5">
        <f t="shared" si="193"/>
        <v>9362269.2138000019</v>
      </c>
      <c r="G215" s="5">
        <f t="shared" si="193"/>
        <v>9362269.2138000019</v>
      </c>
      <c r="H215" s="5">
        <f t="shared" si="193"/>
        <v>9362269.2138000019</v>
      </c>
      <c r="I215" s="5">
        <f t="shared" si="193"/>
        <v>9362269.2138000019</v>
      </c>
      <c r="J215" s="5">
        <f t="shared" si="193"/>
        <v>9362269.2138000019</v>
      </c>
      <c r="K215" s="5">
        <f t="shared" si="193"/>
        <v>9362269.2138000019</v>
      </c>
    </row>
    <row r="216" spans="1:12" x14ac:dyDescent="0.25">
      <c r="A216" s="20" t="s">
        <v>36</v>
      </c>
      <c r="B216" s="5">
        <f t="shared" si="192"/>
        <v>0</v>
      </c>
      <c r="C216" s="5">
        <f t="shared" ref="C216:K216" si="194">(C202+C187)/2</f>
        <v>0</v>
      </c>
      <c r="D216" s="5">
        <f t="shared" si="194"/>
        <v>0</v>
      </c>
      <c r="E216" s="5">
        <f t="shared" si="194"/>
        <v>0</v>
      </c>
      <c r="F216" s="5">
        <f t="shared" si="194"/>
        <v>0</v>
      </c>
      <c r="G216" s="5">
        <f t="shared" si="194"/>
        <v>0</v>
      </c>
      <c r="H216" s="5">
        <f t="shared" si="194"/>
        <v>0</v>
      </c>
      <c r="I216" s="5">
        <f t="shared" si="194"/>
        <v>0</v>
      </c>
      <c r="J216" s="5">
        <f t="shared" si="194"/>
        <v>0</v>
      </c>
      <c r="K216" s="5">
        <f t="shared" si="194"/>
        <v>0</v>
      </c>
    </row>
    <row r="217" spans="1:12" x14ac:dyDescent="0.25">
      <c r="A217" s="20" t="s">
        <v>11</v>
      </c>
      <c r="B217" s="5">
        <f t="shared" si="192"/>
        <v>0</v>
      </c>
      <c r="C217" s="5">
        <f t="shared" ref="C217:K217" si="195">(C203+C188)/2</f>
        <v>0</v>
      </c>
      <c r="D217" s="5">
        <f t="shared" si="195"/>
        <v>0</v>
      </c>
      <c r="E217" s="5">
        <f t="shared" si="195"/>
        <v>0</v>
      </c>
      <c r="F217" s="5">
        <f t="shared" si="195"/>
        <v>0</v>
      </c>
      <c r="G217" s="5">
        <f t="shared" si="195"/>
        <v>0</v>
      </c>
      <c r="H217" s="5">
        <f t="shared" si="195"/>
        <v>0</v>
      </c>
      <c r="I217" s="5">
        <f t="shared" si="195"/>
        <v>0</v>
      </c>
      <c r="J217" s="5">
        <f t="shared" si="195"/>
        <v>0</v>
      </c>
      <c r="K217" s="5">
        <f t="shared" si="195"/>
        <v>0</v>
      </c>
    </row>
    <row r="218" spans="1:12" x14ac:dyDescent="0.25">
      <c r="A218" s="20" t="s">
        <v>124</v>
      </c>
      <c r="B218" s="5">
        <f t="shared" si="192"/>
        <v>350000</v>
      </c>
      <c r="C218" s="5">
        <f t="shared" ref="C218:K218" si="196">(C204+C189)/2</f>
        <v>350000</v>
      </c>
      <c r="D218" s="5">
        <f t="shared" si="196"/>
        <v>350000</v>
      </c>
      <c r="E218" s="5">
        <f t="shared" si="196"/>
        <v>350000</v>
      </c>
      <c r="F218" s="5">
        <f t="shared" si="196"/>
        <v>350000</v>
      </c>
      <c r="G218" s="5">
        <f t="shared" si="196"/>
        <v>350000</v>
      </c>
      <c r="H218" s="5">
        <f t="shared" si="196"/>
        <v>350000</v>
      </c>
      <c r="I218" s="5">
        <f t="shared" si="196"/>
        <v>350000</v>
      </c>
      <c r="J218" s="5">
        <f t="shared" si="196"/>
        <v>350000</v>
      </c>
      <c r="K218" s="5">
        <f t="shared" si="196"/>
        <v>350000</v>
      </c>
    </row>
    <row r="219" spans="1:12" x14ac:dyDescent="0.25">
      <c r="A219" s="20" t="s">
        <v>12</v>
      </c>
      <c r="B219" s="5">
        <f t="shared" si="192"/>
        <v>1637847.8415000001</v>
      </c>
      <c r="C219" s="5">
        <f t="shared" ref="C219:K219" si="197">(C205+C190)/2</f>
        <v>1637847.8415000001</v>
      </c>
      <c r="D219" s="5">
        <f t="shared" si="197"/>
        <v>1637847.8415000001</v>
      </c>
      <c r="E219" s="5">
        <f t="shared" si="197"/>
        <v>1637847.8415000001</v>
      </c>
      <c r="F219" s="5">
        <f t="shared" si="197"/>
        <v>1637847.8415000001</v>
      </c>
      <c r="G219" s="5">
        <f t="shared" si="197"/>
        <v>1637847.8415000001</v>
      </c>
      <c r="H219" s="5">
        <f t="shared" si="197"/>
        <v>1637847.8415000001</v>
      </c>
      <c r="I219" s="5">
        <f t="shared" si="197"/>
        <v>1637847.8415000001</v>
      </c>
      <c r="J219" s="5">
        <f t="shared" si="197"/>
        <v>1637847.8415000001</v>
      </c>
      <c r="K219" s="5">
        <f t="shared" si="197"/>
        <v>1637847.8415000001</v>
      </c>
    </row>
    <row r="220" spans="1:12" x14ac:dyDescent="0.25">
      <c r="A220" s="20" t="s">
        <v>13</v>
      </c>
      <c r="B220" s="5">
        <f t="shared" si="192"/>
        <v>0</v>
      </c>
      <c r="C220" s="5">
        <f t="shared" ref="C220:K220" si="198">(C206+C191)/2</f>
        <v>0</v>
      </c>
      <c r="D220" s="5">
        <f t="shared" si="198"/>
        <v>0</v>
      </c>
      <c r="E220" s="5">
        <f t="shared" si="198"/>
        <v>0</v>
      </c>
      <c r="F220" s="5">
        <f t="shared" si="198"/>
        <v>0</v>
      </c>
      <c r="G220" s="5">
        <f t="shared" si="198"/>
        <v>0</v>
      </c>
      <c r="H220" s="5">
        <f t="shared" si="198"/>
        <v>0</v>
      </c>
      <c r="I220" s="5">
        <f t="shared" si="198"/>
        <v>0</v>
      </c>
      <c r="J220" s="5">
        <f t="shared" si="198"/>
        <v>0</v>
      </c>
      <c r="K220" s="5">
        <f t="shared" si="198"/>
        <v>0</v>
      </c>
    </row>
    <row r="221" spans="1:12" x14ac:dyDescent="0.25">
      <c r="A221" s="20" t="s">
        <v>14</v>
      </c>
      <c r="B221" s="5">
        <f t="shared" si="192"/>
        <v>0</v>
      </c>
      <c r="C221" s="5">
        <f t="shared" ref="C221:K221" si="199">(C207+C192)/2</f>
        <v>0</v>
      </c>
      <c r="D221" s="5">
        <f t="shared" si="199"/>
        <v>0</v>
      </c>
      <c r="E221" s="5">
        <f t="shared" si="199"/>
        <v>0</v>
      </c>
      <c r="F221" s="5">
        <f t="shared" si="199"/>
        <v>0</v>
      </c>
      <c r="G221" s="5">
        <f t="shared" si="199"/>
        <v>0</v>
      </c>
      <c r="H221" s="5">
        <f t="shared" si="199"/>
        <v>0</v>
      </c>
      <c r="I221" s="5">
        <f t="shared" si="199"/>
        <v>0</v>
      </c>
      <c r="J221" s="5">
        <f t="shared" si="199"/>
        <v>0</v>
      </c>
      <c r="K221" s="5">
        <f t="shared" si="199"/>
        <v>0</v>
      </c>
    </row>
    <row r="222" spans="1:12" x14ac:dyDescent="0.25">
      <c r="A222" s="20" t="s">
        <v>125</v>
      </c>
      <c r="B222" s="5">
        <f t="shared" si="192"/>
        <v>0</v>
      </c>
      <c r="C222" s="5">
        <f t="shared" ref="C222:K222" si="200">(C208+C193)/2</f>
        <v>0</v>
      </c>
      <c r="D222" s="5">
        <f t="shared" si="200"/>
        <v>0</v>
      </c>
      <c r="E222" s="5">
        <f t="shared" si="200"/>
        <v>0</v>
      </c>
      <c r="F222" s="5">
        <f t="shared" si="200"/>
        <v>0</v>
      </c>
      <c r="G222" s="5">
        <f t="shared" si="200"/>
        <v>0</v>
      </c>
      <c r="H222" s="5">
        <f t="shared" si="200"/>
        <v>0</v>
      </c>
      <c r="I222" s="5">
        <f t="shared" si="200"/>
        <v>0</v>
      </c>
      <c r="J222" s="5">
        <f t="shared" si="200"/>
        <v>0</v>
      </c>
      <c r="K222" s="5">
        <f t="shared" si="200"/>
        <v>0</v>
      </c>
    </row>
    <row r="223" spans="1:12" x14ac:dyDescent="0.25">
      <c r="A223" s="20" t="s">
        <v>37</v>
      </c>
      <c r="B223" s="5">
        <f t="shared" si="192"/>
        <v>19236254.356200002</v>
      </c>
      <c r="C223" s="5">
        <f t="shared" ref="C223:K223" si="201">(C209+C194)/2</f>
        <v>19236254.356200002</v>
      </c>
      <c r="D223" s="5">
        <f t="shared" si="201"/>
        <v>19236254.356200002</v>
      </c>
      <c r="E223" s="5">
        <f t="shared" si="201"/>
        <v>19236254.356200002</v>
      </c>
      <c r="F223" s="5">
        <f t="shared" si="201"/>
        <v>19236254.356200002</v>
      </c>
      <c r="G223" s="5">
        <f t="shared" si="201"/>
        <v>19236254.356200002</v>
      </c>
      <c r="H223" s="5">
        <f t="shared" si="201"/>
        <v>19236254.356200002</v>
      </c>
      <c r="I223" s="5">
        <f t="shared" si="201"/>
        <v>19236254.356200002</v>
      </c>
      <c r="J223" s="5">
        <f t="shared" si="201"/>
        <v>19236254.356200002</v>
      </c>
      <c r="K223" s="5">
        <f t="shared" si="201"/>
        <v>19236254.356200002</v>
      </c>
    </row>
    <row r="224" spans="1:12" x14ac:dyDescent="0.25">
      <c r="A224" s="20" t="s">
        <v>38</v>
      </c>
      <c r="B224" s="5">
        <f t="shared" si="192"/>
        <v>50069.722499999996</v>
      </c>
      <c r="C224" s="5">
        <f t="shared" ref="C224:K224" si="202">(C210+C195)/2</f>
        <v>50069.722499999996</v>
      </c>
      <c r="D224" s="5">
        <f t="shared" si="202"/>
        <v>50069.722499999996</v>
      </c>
      <c r="E224" s="5">
        <f t="shared" si="202"/>
        <v>50069.722499999996</v>
      </c>
      <c r="F224" s="5">
        <f t="shared" si="202"/>
        <v>50069.722499999996</v>
      </c>
      <c r="G224" s="5">
        <f t="shared" si="202"/>
        <v>50069.722499999996</v>
      </c>
      <c r="H224" s="5">
        <f t="shared" si="202"/>
        <v>50069.722499999996</v>
      </c>
      <c r="I224" s="5">
        <f t="shared" si="202"/>
        <v>50069.722499999996</v>
      </c>
      <c r="J224" s="5">
        <f t="shared" si="202"/>
        <v>50069.722499999996</v>
      </c>
      <c r="K224" s="5">
        <f t="shared" si="202"/>
        <v>50069.722499999996</v>
      </c>
    </row>
    <row r="225" spans="1:11" x14ac:dyDescent="0.25">
      <c r="A225" s="20" t="s">
        <v>15</v>
      </c>
      <c r="B225" s="13">
        <f t="shared" si="192"/>
        <v>5203477.9337499989</v>
      </c>
      <c r="C225" s="13">
        <f t="shared" ref="C225:K225" si="203">(C211+C196)/2</f>
        <v>5203477.9337499989</v>
      </c>
      <c r="D225" s="13">
        <f t="shared" si="203"/>
        <v>5203477.9337499989</v>
      </c>
      <c r="E225" s="13">
        <f t="shared" si="203"/>
        <v>5203477.9337499989</v>
      </c>
      <c r="F225" s="13">
        <f t="shared" si="203"/>
        <v>5203477.9337499989</v>
      </c>
      <c r="G225" s="13">
        <f t="shared" si="203"/>
        <v>5203477.9337499989</v>
      </c>
      <c r="H225" s="13">
        <f t="shared" si="203"/>
        <v>5203477.9337499989</v>
      </c>
      <c r="I225" s="13">
        <f t="shared" si="203"/>
        <v>5203477.9337499989</v>
      </c>
      <c r="J225" s="13">
        <f t="shared" si="203"/>
        <v>5203477.9337499989</v>
      </c>
      <c r="K225" s="13">
        <f t="shared" si="203"/>
        <v>5203477.9337499989</v>
      </c>
    </row>
    <row r="226" spans="1:11" x14ac:dyDescent="0.25">
      <c r="A226" s="5"/>
      <c r="B226" s="5">
        <f t="shared" ref="B226:K226" si="204">SUM(B215:B225)</f>
        <v>35839919.067749999</v>
      </c>
      <c r="C226" s="5">
        <f t="shared" si="204"/>
        <v>35839919.067749999</v>
      </c>
      <c r="D226" s="5">
        <f t="shared" si="204"/>
        <v>35839919.067749999</v>
      </c>
      <c r="E226" s="5">
        <f t="shared" si="204"/>
        <v>35839919.067749999</v>
      </c>
      <c r="F226" s="5">
        <f t="shared" si="204"/>
        <v>35839919.067749999</v>
      </c>
      <c r="G226" s="5">
        <f t="shared" si="204"/>
        <v>35839919.067749999</v>
      </c>
      <c r="H226" s="5">
        <f t="shared" si="204"/>
        <v>35839919.067749999</v>
      </c>
      <c r="I226" s="5">
        <f t="shared" si="204"/>
        <v>35839919.067749999</v>
      </c>
      <c r="J226" s="5">
        <f t="shared" si="204"/>
        <v>35839919.067749999</v>
      </c>
      <c r="K226" s="5">
        <f t="shared" si="204"/>
        <v>35839919.067749999</v>
      </c>
    </row>
    <row r="227" spans="1:11" x14ac:dyDescent="0.25">
      <c r="B227" s="16">
        <f>B226/B$183</f>
        <v>0.35181451273066316</v>
      </c>
      <c r="C227" s="16">
        <f t="shared" ref="C227" si="205">C226/C$183</f>
        <v>0.35181451273066316</v>
      </c>
      <c r="D227" s="16">
        <f t="shared" ref="D227" si="206">D226/D$183</f>
        <v>0.35181451273066316</v>
      </c>
      <c r="E227" s="16">
        <f t="shared" ref="E227" si="207">E226/E$183</f>
        <v>0.35181451273066316</v>
      </c>
      <c r="F227" s="16">
        <f t="shared" ref="F227" si="208">F226/F$183</f>
        <v>0.35181451273066316</v>
      </c>
      <c r="G227" s="16">
        <f t="shared" ref="G227" si="209">G226/G$183</f>
        <v>0.35181451273066316</v>
      </c>
      <c r="H227" s="16">
        <f t="shared" ref="H227" si="210">H226/H$183</f>
        <v>0.35181451273066316</v>
      </c>
      <c r="I227" s="16">
        <f t="shared" ref="I227" si="211">I226/I$183</f>
        <v>0.35181451273066316</v>
      </c>
      <c r="J227" s="16">
        <f t="shared" ref="J227" si="212">J226/J$183</f>
        <v>0.35181451273066316</v>
      </c>
      <c r="K227" s="16">
        <f t="shared" ref="K227" si="213">K226/K$183</f>
        <v>0.35181451273066316</v>
      </c>
    </row>
    <row r="228" spans="1:11" s="3" customFormat="1" x14ac:dyDescent="0.25">
      <c r="A228" s="2" t="s">
        <v>33</v>
      </c>
    </row>
    <row r="229" spans="1:11" x14ac:dyDescent="0.25">
      <c r="B229" s="12" t="str">
        <f>'Summary dashboard'!C4</f>
        <v>2023</v>
      </c>
      <c r="C229" s="12">
        <f>B229+1</f>
        <v>2024</v>
      </c>
      <c r="D229" s="12">
        <f t="shared" ref="D229" si="214">C229+1</f>
        <v>2025</v>
      </c>
      <c r="E229" s="12">
        <f t="shared" ref="E229" si="215">D229+1</f>
        <v>2026</v>
      </c>
      <c r="F229" s="12">
        <f t="shared" ref="F229" si="216">E229+1</f>
        <v>2027</v>
      </c>
      <c r="G229" s="12">
        <f t="shared" ref="G229" si="217">F229+1</f>
        <v>2028</v>
      </c>
      <c r="H229" s="12">
        <f t="shared" ref="H229" si="218">G229+1</f>
        <v>2029</v>
      </c>
      <c r="I229" s="12">
        <f t="shared" ref="I229" si="219">H229+1</f>
        <v>2030</v>
      </c>
      <c r="J229" s="12">
        <f t="shared" ref="J229" si="220">I229+1</f>
        <v>2031</v>
      </c>
      <c r="K229" s="12">
        <f>J229+1</f>
        <v>2032</v>
      </c>
    </row>
    <row r="230" spans="1:11" x14ac:dyDescent="0.25">
      <c r="A230" s="4" t="s">
        <v>35</v>
      </c>
      <c r="B230" s="16">
        <f>'Vaal-Orange CMA'!B31</f>
        <v>1</v>
      </c>
      <c r="C230" s="16">
        <f>'Vaal-Orange CMA'!C31</f>
        <v>1</v>
      </c>
      <c r="D230" s="16">
        <f>'Vaal-Orange CMA'!D31</f>
        <v>1</v>
      </c>
      <c r="E230" s="16">
        <f>'Vaal-Orange CMA'!E31</f>
        <v>1</v>
      </c>
      <c r="F230" s="16">
        <f>'Vaal-Orange CMA'!F31</f>
        <v>1</v>
      </c>
      <c r="G230" s="16">
        <f>'Vaal-Orange CMA'!G31</f>
        <v>1</v>
      </c>
      <c r="H230" s="16">
        <f>'Vaal-Orange CMA'!H31</f>
        <v>1</v>
      </c>
      <c r="I230" s="16">
        <f>'Vaal-Orange CMA'!I31</f>
        <v>1</v>
      </c>
      <c r="J230" s="16">
        <f>'Vaal-Orange CMA'!J31</f>
        <v>1</v>
      </c>
      <c r="K230" s="16">
        <f>'Vaal-Orange CMA'!K31</f>
        <v>1</v>
      </c>
    </row>
    <row r="231" spans="1:11" x14ac:dyDescent="0.25">
      <c r="A231" s="4" t="s">
        <v>36</v>
      </c>
      <c r="B231" s="16">
        <f>'Vaal-Orange CMA'!B32</f>
        <v>1</v>
      </c>
      <c r="C231" s="16">
        <f>'Vaal-Orange CMA'!C32</f>
        <v>1</v>
      </c>
      <c r="D231" s="16">
        <f>'Vaal-Orange CMA'!D32</f>
        <v>1</v>
      </c>
      <c r="E231" s="16">
        <f>'Vaal-Orange CMA'!E32</f>
        <v>1</v>
      </c>
      <c r="F231" s="16">
        <f>'Vaal-Orange CMA'!F32</f>
        <v>1</v>
      </c>
      <c r="G231" s="16">
        <f>'Vaal-Orange CMA'!G32</f>
        <v>1</v>
      </c>
      <c r="H231" s="16">
        <f>'Vaal-Orange CMA'!H32</f>
        <v>1</v>
      </c>
      <c r="I231" s="16">
        <f>'Vaal-Orange CMA'!I32</f>
        <v>1</v>
      </c>
      <c r="J231" s="16">
        <f>'Vaal-Orange CMA'!J32</f>
        <v>1</v>
      </c>
      <c r="K231" s="16">
        <f>'Vaal-Orange CMA'!K32</f>
        <v>1</v>
      </c>
    </row>
    <row r="232" spans="1:11" x14ac:dyDescent="0.25">
      <c r="A232" s="4" t="s">
        <v>11</v>
      </c>
      <c r="B232" s="16">
        <f>'Vaal-Orange CMA'!B33</f>
        <v>1</v>
      </c>
      <c r="C232" s="16">
        <f>'Vaal-Orange CMA'!C33</f>
        <v>1</v>
      </c>
      <c r="D232" s="16">
        <f>'Vaal-Orange CMA'!D33</f>
        <v>1</v>
      </c>
      <c r="E232" s="16">
        <f>'Vaal-Orange CMA'!E33</f>
        <v>1</v>
      </c>
      <c r="F232" s="16">
        <f>'Vaal-Orange CMA'!F33</f>
        <v>1</v>
      </c>
      <c r="G232" s="16">
        <f>'Vaal-Orange CMA'!G33</f>
        <v>1</v>
      </c>
      <c r="H232" s="16">
        <f>'Vaal-Orange CMA'!H33</f>
        <v>1</v>
      </c>
      <c r="I232" s="16">
        <f>'Vaal-Orange CMA'!I33</f>
        <v>1</v>
      </c>
      <c r="J232" s="16">
        <f>'Vaal-Orange CMA'!J33</f>
        <v>1</v>
      </c>
      <c r="K232" s="16">
        <f>'Vaal-Orange CMA'!K33</f>
        <v>1</v>
      </c>
    </row>
    <row r="233" spans="1:11" x14ac:dyDescent="0.25">
      <c r="A233" s="4" t="s">
        <v>124</v>
      </c>
      <c r="B233" s="16">
        <f>'Vaal-Orange CMA'!B34</f>
        <v>1</v>
      </c>
      <c r="C233" s="16">
        <f>'Vaal-Orange CMA'!C34</f>
        <v>1</v>
      </c>
      <c r="D233" s="16">
        <f>'Vaal-Orange CMA'!D34</f>
        <v>1</v>
      </c>
      <c r="E233" s="16">
        <f>'Vaal-Orange CMA'!E34</f>
        <v>1</v>
      </c>
      <c r="F233" s="16">
        <f>'Vaal-Orange CMA'!F34</f>
        <v>1</v>
      </c>
      <c r="G233" s="16">
        <f>'Vaal-Orange CMA'!G34</f>
        <v>1</v>
      </c>
      <c r="H233" s="16">
        <f>'Vaal-Orange CMA'!H34</f>
        <v>1</v>
      </c>
      <c r="I233" s="16">
        <f>'Vaal-Orange CMA'!I34</f>
        <v>1</v>
      </c>
      <c r="J233" s="16">
        <f>'Vaal-Orange CMA'!J34</f>
        <v>1</v>
      </c>
      <c r="K233" s="16">
        <f>'Vaal-Orange CMA'!K34</f>
        <v>1</v>
      </c>
    </row>
    <row r="234" spans="1:11" x14ac:dyDescent="0.25">
      <c r="A234" s="4" t="s">
        <v>12</v>
      </c>
      <c r="B234" s="16">
        <f>'Vaal-Orange CMA'!B35</f>
        <v>1</v>
      </c>
      <c r="C234" s="16">
        <f>'Vaal-Orange CMA'!C35</f>
        <v>1</v>
      </c>
      <c r="D234" s="16">
        <f>'Vaal-Orange CMA'!D35</f>
        <v>1</v>
      </c>
      <c r="E234" s="16">
        <f>'Vaal-Orange CMA'!E35</f>
        <v>1</v>
      </c>
      <c r="F234" s="16">
        <f>'Vaal-Orange CMA'!F35</f>
        <v>1</v>
      </c>
      <c r="G234" s="16">
        <f>'Vaal-Orange CMA'!G35</f>
        <v>1</v>
      </c>
      <c r="H234" s="16">
        <f>'Vaal-Orange CMA'!H35</f>
        <v>1</v>
      </c>
      <c r="I234" s="16">
        <f>'Vaal-Orange CMA'!I35</f>
        <v>1</v>
      </c>
      <c r="J234" s="16">
        <f>'Vaal-Orange CMA'!J35</f>
        <v>1</v>
      </c>
      <c r="K234" s="16">
        <f>'Vaal-Orange CMA'!K35</f>
        <v>1</v>
      </c>
    </row>
    <row r="235" spans="1:11" x14ac:dyDescent="0.25">
      <c r="A235" s="4" t="s">
        <v>13</v>
      </c>
      <c r="B235" s="16">
        <f>'Vaal-Orange CMA'!B36</f>
        <v>1</v>
      </c>
      <c r="C235" s="16">
        <f>'Vaal-Orange CMA'!C36</f>
        <v>1</v>
      </c>
      <c r="D235" s="16">
        <f>'Vaal-Orange CMA'!D36</f>
        <v>1</v>
      </c>
      <c r="E235" s="16">
        <f>'Vaal-Orange CMA'!E36</f>
        <v>1</v>
      </c>
      <c r="F235" s="16">
        <f>'Vaal-Orange CMA'!F36</f>
        <v>1</v>
      </c>
      <c r="G235" s="16">
        <f>'Vaal-Orange CMA'!G36</f>
        <v>1</v>
      </c>
      <c r="H235" s="16">
        <f>'Vaal-Orange CMA'!H36</f>
        <v>1</v>
      </c>
      <c r="I235" s="16">
        <f>'Vaal-Orange CMA'!I36</f>
        <v>1</v>
      </c>
      <c r="J235" s="16">
        <f>'Vaal-Orange CMA'!J36</f>
        <v>1</v>
      </c>
      <c r="K235" s="16">
        <f>'Vaal-Orange CMA'!K36</f>
        <v>1</v>
      </c>
    </row>
    <row r="236" spans="1:11" x14ac:dyDescent="0.25">
      <c r="A236" s="4" t="s">
        <v>14</v>
      </c>
      <c r="B236" s="16">
        <f>'Vaal-Orange CMA'!B37</f>
        <v>1</v>
      </c>
      <c r="C236" s="16">
        <f>'Vaal-Orange CMA'!C37</f>
        <v>1</v>
      </c>
      <c r="D236" s="16">
        <f>'Vaal-Orange CMA'!D37</f>
        <v>1</v>
      </c>
      <c r="E236" s="16">
        <f>'Vaal-Orange CMA'!E37</f>
        <v>1</v>
      </c>
      <c r="F236" s="16">
        <f>'Vaal-Orange CMA'!F37</f>
        <v>1</v>
      </c>
      <c r="G236" s="16">
        <f>'Vaal-Orange CMA'!G37</f>
        <v>1</v>
      </c>
      <c r="H236" s="16">
        <f>'Vaal-Orange CMA'!H37</f>
        <v>1</v>
      </c>
      <c r="I236" s="16">
        <f>'Vaal-Orange CMA'!I37</f>
        <v>1</v>
      </c>
      <c r="J236" s="16">
        <f>'Vaal-Orange CMA'!J37</f>
        <v>1</v>
      </c>
      <c r="K236" s="16">
        <f>'Vaal-Orange CMA'!K37</f>
        <v>1</v>
      </c>
    </row>
    <row r="237" spans="1:11" x14ac:dyDescent="0.25">
      <c r="A237" s="4" t="s">
        <v>125</v>
      </c>
      <c r="B237" s="16">
        <f>'Vaal-Orange CMA'!B38</f>
        <v>1</v>
      </c>
      <c r="C237" s="16">
        <f>'Vaal-Orange CMA'!C38</f>
        <v>1</v>
      </c>
      <c r="D237" s="16">
        <f>'Vaal-Orange CMA'!D38</f>
        <v>1</v>
      </c>
      <c r="E237" s="16">
        <f>'Vaal-Orange CMA'!E38</f>
        <v>1</v>
      </c>
      <c r="F237" s="16">
        <f>'Vaal-Orange CMA'!F38</f>
        <v>1</v>
      </c>
      <c r="G237" s="16">
        <f>'Vaal-Orange CMA'!G38</f>
        <v>1</v>
      </c>
      <c r="H237" s="16">
        <f>'Vaal-Orange CMA'!H38</f>
        <v>1</v>
      </c>
      <c r="I237" s="16">
        <f>'Vaal-Orange CMA'!I38</f>
        <v>1</v>
      </c>
      <c r="J237" s="16">
        <f>'Vaal-Orange CMA'!J38</f>
        <v>1</v>
      </c>
      <c r="K237" s="16">
        <f>'Vaal-Orange CMA'!K38</f>
        <v>1</v>
      </c>
    </row>
    <row r="238" spans="1:11" x14ac:dyDescent="0.25">
      <c r="A238" s="4" t="s">
        <v>37</v>
      </c>
      <c r="B238" s="16">
        <f>'Vaal-Orange CMA'!B39</f>
        <v>1</v>
      </c>
      <c r="C238" s="16">
        <f>'Vaal-Orange CMA'!C39</f>
        <v>1</v>
      </c>
      <c r="D238" s="16">
        <f>'Vaal-Orange CMA'!D39</f>
        <v>1</v>
      </c>
      <c r="E238" s="16">
        <f>'Vaal-Orange CMA'!E39</f>
        <v>1</v>
      </c>
      <c r="F238" s="16">
        <f>'Vaal-Orange CMA'!F39</f>
        <v>1</v>
      </c>
      <c r="G238" s="16">
        <f>'Vaal-Orange CMA'!G39</f>
        <v>1</v>
      </c>
      <c r="H238" s="16">
        <f>'Vaal-Orange CMA'!H39</f>
        <v>1</v>
      </c>
      <c r="I238" s="16">
        <f>'Vaal-Orange CMA'!I39</f>
        <v>1</v>
      </c>
      <c r="J238" s="16">
        <f>'Vaal-Orange CMA'!J39</f>
        <v>1</v>
      </c>
      <c r="K238" s="16">
        <f>'Vaal-Orange CMA'!K39</f>
        <v>1</v>
      </c>
    </row>
    <row r="239" spans="1:11" x14ac:dyDescent="0.25">
      <c r="A239" s="4" t="s">
        <v>38</v>
      </c>
      <c r="B239" s="16">
        <f>'Vaal-Orange CMA'!B40</f>
        <v>1</v>
      </c>
      <c r="C239" s="16">
        <f>'Vaal-Orange CMA'!C40</f>
        <v>1</v>
      </c>
      <c r="D239" s="16">
        <f>'Vaal-Orange CMA'!D40</f>
        <v>1</v>
      </c>
      <c r="E239" s="16">
        <f>'Vaal-Orange CMA'!E40</f>
        <v>1</v>
      </c>
      <c r="F239" s="16">
        <f>'Vaal-Orange CMA'!F40</f>
        <v>1</v>
      </c>
      <c r="G239" s="16">
        <f>'Vaal-Orange CMA'!G40</f>
        <v>1</v>
      </c>
      <c r="H239" s="16">
        <f>'Vaal-Orange CMA'!H40</f>
        <v>1</v>
      </c>
      <c r="I239" s="16">
        <f>'Vaal-Orange CMA'!I40</f>
        <v>1</v>
      </c>
      <c r="J239" s="16">
        <f>'Vaal-Orange CMA'!J40</f>
        <v>1</v>
      </c>
      <c r="K239" s="16">
        <f>'Vaal-Orange CMA'!K40</f>
        <v>1</v>
      </c>
    </row>
    <row r="240" spans="1:11" x14ac:dyDescent="0.25">
      <c r="A240" s="4" t="s">
        <v>15</v>
      </c>
      <c r="B240" s="16">
        <f>'Vaal-Orange CMA'!B41</f>
        <v>1</v>
      </c>
      <c r="C240" s="16">
        <f>'Vaal-Orange CMA'!C41</f>
        <v>1</v>
      </c>
      <c r="D240" s="16">
        <f>'Vaal-Orange CMA'!D41</f>
        <v>1</v>
      </c>
      <c r="E240" s="16">
        <f>'Vaal-Orange CMA'!E41</f>
        <v>1</v>
      </c>
      <c r="F240" s="16">
        <f>'Vaal-Orange CMA'!F41</f>
        <v>1</v>
      </c>
      <c r="G240" s="16">
        <f>'Vaal-Orange CMA'!G41</f>
        <v>1</v>
      </c>
      <c r="H240" s="16">
        <f>'Vaal-Orange CMA'!H41</f>
        <v>1</v>
      </c>
      <c r="I240" s="16">
        <f>'Vaal-Orange CMA'!I41</f>
        <v>1</v>
      </c>
      <c r="J240" s="16">
        <f>'Vaal-Orange CMA'!J41</f>
        <v>1</v>
      </c>
      <c r="K240" s="16">
        <f>'Vaal-Orange CMA'!K41</f>
        <v>1</v>
      </c>
    </row>
    <row r="241" spans="1:13" x14ac:dyDescent="0.25">
      <c r="C241" s="6"/>
      <c r="D241" s="6"/>
      <c r="E241" s="6"/>
      <c r="F241" s="6"/>
      <c r="G241" s="6"/>
      <c r="H241" s="6"/>
      <c r="I241" s="6"/>
      <c r="J241" s="6"/>
      <c r="K241" s="6"/>
    </row>
    <row r="242" spans="1:13" x14ac:dyDescent="0.25">
      <c r="A242" s="1" t="s">
        <v>60</v>
      </c>
      <c r="B242" s="12" t="str">
        <f>'Summary dashboard'!C4</f>
        <v>2023</v>
      </c>
      <c r="C242" s="12">
        <f t="shared" ref="C242" si="221">B242+1</f>
        <v>2024</v>
      </c>
      <c r="D242" s="12">
        <f t="shared" ref="D242" si="222">C242+1</f>
        <v>2025</v>
      </c>
      <c r="E242" s="12">
        <f t="shared" ref="E242" si="223">D242+1</f>
        <v>2026</v>
      </c>
      <c r="F242" s="12">
        <f t="shared" ref="F242" si="224">E242+1</f>
        <v>2027</v>
      </c>
      <c r="G242" s="12">
        <f t="shared" ref="G242" si="225">F242+1</f>
        <v>2028</v>
      </c>
      <c r="H242" s="12">
        <f t="shared" ref="H242" si="226">G242+1</f>
        <v>2029</v>
      </c>
      <c r="I242" s="12">
        <f t="shared" ref="I242" si="227">H242+1</f>
        <v>2030</v>
      </c>
      <c r="J242" s="12">
        <f t="shared" ref="J242" si="228">I242+1</f>
        <v>2031</v>
      </c>
      <c r="K242" s="12">
        <f t="shared" ref="K242" si="229">J242+1</f>
        <v>2032</v>
      </c>
      <c r="L242" s="1" t="s">
        <v>28</v>
      </c>
    </row>
    <row r="243" spans="1:13" x14ac:dyDescent="0.25">
      <c r="A243" s="4" t="s">
        <v>35</v>
      </c>
      <c r="B243" s="32">
        <f>$E3*B230</f>
        <v>9632104.7785999998</v>
      </c>
      <c r="C243" s="32">
        <f t="shared" ref="C243:K243" si="230">$E3*C230</f>
        <v>9632104.7785999998</v>
      </c>
      <c r="D243" s="32">
        <f t="shared" si="230"/>
        <v>9632104.7785999998</v>
      </c>
      <c r="E243" s="32">
        <f t="shared" si="230"/>
        <v>9632104.7785999998</v>
      </c>
      <c r="F243" s="32">
        <f t="shared" si="230"/>
        <v>9632104.7785999998</v>
      </c>
      <c r="G243" s="32">
        <f t="shared" si="230"/>
        <v>9632104.7785999998</v>
      </c>
      <c r="H243" s="32">
        <f t="shared" si="230"/>
        <v>9632104.7785999998</v>
      </c>
      <c r="I243" s="32">
        <f t="shared" si="230"/>
        <v>9632104.7785999998</v>
      </c>
      <c r="J243" s="32">
        <f t="shared" si="230"/>
        <v>9632104.7785999998</v>
      </c>
      <c r="K243" s="32">
        <f t="shared" si="230"/>
        <v>9632104.7785999998</v>
      </c>
      <c r="L243" s="5">
        <f t="shared" ref="L243:L254" si="231">AVERAGE(B243:K243)</f>
        <v>9632104.7786000017</v>
      </c>
    </row>
    <row r="244" spans="1:13" x14ac:dyDescent="0.25">
      <c r="A244" s="4" t="s">
        <v>36</v>
      </c>
      <c r="B244" s="32">
        <f t="shared" ref="B244:K244" si="232">$E4*B231</f>
        <v>9196844.3790000007</v>
      </c>
      <c r="C244" s="32">
        <f t="shared" si="232"/>
        <v>9196844.3790000007</v>
      </c>
      <c r="D244" s="32">
        <f t="shared" si="232"/>
        <v>9196844.3790000007</v>
      </c>
      <c r="E244" s="32">
        <f t="shared" si="232"/>
        <v>9196844.3790000007</v>
      </c>
      <c r="F244" s="32">
        <f t="shared" si="232"/>
        <v>9196844.3790000007</v>
      </c>
      <c r="G244" s="32">
        <f t="shared" si="232"/>
        <v>9196844.3790000007</v>
      </c>
      <c r="H244" s="32">
        <f t="shared" si="232"/>
        <v>9196844.3790000007</v>
      </c>
      <c r="I244" s="32">
        <f t="shared" si="232"/>
        <v>9196844.3790000007</v>
      </c>
      <c r="J244" s="32">
        <f t="shared" si="232"/>
        <v>9196844.3790000007</v>
      </c>
      <c r="K244" s="32">
        <f t="shared" si="232"/>
        <v>9196844.3790000007</v>
      </c>
      <c r="L244" s="5">
        <f t="shared" si="231"/>
        <v>9196844.3790000025</v>
      </c>
    </row>
    <row r="245" spans="1:13" x14ac:dyDescent="0.25">
      <c r="A245" s="4" t="s">
        <v>11</v>
      </c>
      <c r="B245" s="32">
        <f t="shared" ref="B245:K245" si="233">$E5*B232</f>
        <v>0</v>
      </c>
      <c r="C245" s="32">
        <f t="shared" si="233"/>
        <v>0</v>
      </c>
      <c r="D245" s="32">
        <f t="shared" si="233"/>
        <v>0</v>
      </c>
      <c r="E245" s="32">
        <f t="shared" si="233"/>
        <v>0</v>
      </c>
      <c r="F245" s="32">
        <f t="shared" si="233"/>
        <v>0</v>
      </c>
      <c r="G245" s="32">
        <f t="shared" si="233"/>
        <v>0</v>
      </c>
      <c r="H245" s="32">
        <f t="shared" si="233"/>
        <v>0</v>
      </c>
      <c r="I245" s="32">
        <f t="shared" si="233"/>
        <v>0</v>
      </c>
      <c r="J245" s="32">
        <f t="shared" si="233"/>
        <v>0</v>
      </c>
      <c r="K245" s="32">
        <f t="shared" si="233"/>
        <v>0</v>
      </c>
      <c r="L245" s="5">
        <f t="shared" si="231"/>
        <v>0</v>
      </c>
    </row>
    <row r="246" spans="1:13" x14ac:dyDescent="0.25">
      <c r="A246" s="4" t="s">
        <v>124</v>
      </c>
      <c r="B246" s="32">
        <f t="shared" ref="B246:K246" si="234">$E6*B233</f>
        <v>6181489.4050000012</v>
      </c>
      <c r="C246" s="32">
        <f t="shared" si="234"/>
        <v>6181489.4050000012</v>
      </c>
      <c r="D246" s="32">
        <f t="shared" si="234"/>
        <v>6181489.4050000012</v>
      </c>
      <c r="E246" s="32">
        <f t="shared" si="234"/>
        <v>6181489.4050000012</v>
      </c>
      <c r="F246" s="32">
        <f t="shared" si="234"/>
        <v>6181489.4050000012</v>
      </c>
      <c r="G246" s="32">
        <f t="shared" si="234"/>
        <v>6181489.4050000012</v>
      </c>
      <c r="H246" s="32">
        <f t="shared" si="234"/>
        <v>6181489.4050000012</v>
      </c>
      <c r="I246" s="32">
        <f t="shared" si="234"/>
        <v>6181489.4050000012</v>
      </c>
      <c r="J246" s="32">
        <f t="shared" si="234"/>
        <v>6181489.4050000012</v>
      </c>
      <c r="K246" s="32">
        <f t="shared" si="234"/>
        <v>6181489.4050000012</v>
      </c>
      <c r="L246" s="5">
        <f t="shared" si="231"/>
        <v>6181489.4050000012</v>
      </c>
    </row>
    <row r="247" spans="1:13" x14ac:dyDescent="0.25">
      <c r="A247" s="4" t="s">
        <v>12</v>
      </c>
      <c r="B247" s="32">
        <f t="shared" ref="B247:K247" si="235">$E7*B234</f>
        <v>46339876.588466674</v>
      </c>
      <c r="C247" s="32">
        <f t="shared" si="235"/>
        <v>46339876.588466674</v>
      </c>
      <c r="D247" s="32">
        <f t="shared" si="235"/>
        <v>46339876.588466674</v>
      </c>
      <c r="E247" s="32">
        <f t="shared" si="235"/>
        <v>46339876.588466674</v>
      </c>
      <c r="F247" s="32">
        <f t="shared" si="235"/>
        <v>46339876.588466674</v>
      </c>
      <c r="G247" s="32">
        <f t="shared" si="235"/>
        <v>46339876.588466674</v>
      </c>
      <c r="H247" s="32">
        <f t="shared" si="235"/>
        <v>46339876.588466674</v>
      </c>
      <c r="I247" s="32">
        <f t="shared" si="235"/>
        <v>46339876.588466674</v>
      </c>
      <c r="J247" s="32">
        <f t="shared" si="235"/>
        <v>46339876.588466674</v>
      </c>
      <c r="K247" s="32">
        <f t="shared" si="235"/>
        <v>46339876.588466674</v>
      </c>
      <c r="L247" s="5">
        <f t="shared" si="231"/>
        <v>46339876.588466667</v>
      </c>
    </row>
    <row r="248" spans="1:13" x14ac:dyDescent="0.25">
      <c r="A248" s="4" t="s">
        <v>13</v>
      </c>
      <c r="B248" s="32">
        <f t="shared" ref="B248:K248" si="236">$E8*B235</f>
        <v>0</v>
      </c>
      <c r="C248" s="32">
        <f t="shared" si="236"/>
        <v>0</v>
      </c>
      <c r="D248" s="32">
        <f t="shared" si="236"/>
        <v>0</v>
      </c>
      <c r="E248" s="32">
        <f t="shared" si="236"/>
        <v>0</v>
      </c>
      <c r="F248" s="32">
        <f t="shared" si="236"/>
        <v>0</v>
      </c>
      <c r="G248" s="32">
        <f t="shared" si="236"/>
        <v>0</v>
      </c>
      <c r="H248" s="32">
        <f t="shared" si="236"/>
        <v>0</v>
      </c>
      <c r="I248" s="32">
        <f t="shared" si="236"/>
        <v>0</v>
      </c>
      <c r="J248" s="32">
        <f t="shared" si="236"/>
        <v>0</v>
      </c>
      <c r="K248" s="32">
        <f t="shared" si="236"/>
        <v>0</v>
      </c>
      <c r="L248" s="5">
        <f t="shared" si="231"/>
        <v>0</v>
      </c>
    </row>
    <row r="249" spans="1:13" x14ac:dyDescent="0.25">
      <c r="A249" s="4" t="s">
        <v>14</v>
      </c>
      <c r="B249" s="32">
        <f t="shared" ref="B249:K249" si="237">$E9*B236</f>
        <v>0</v>
      </c>
      <c r="C249" s="32">
        <f t="shared" si="237"/>
        <v>0</v>
      </c>
      <c r="D249" s="32">
        <f t="shared" si="237"/>
        <v>0</v>
      </c>
      <c r="E249" s="32">
        <f t="shared" si="237"/>
        <v>0</v>
      </c>
      <c r="F249" s="32">
        <f t="shared" si="237"/>
        <v>0</v>
      </c>
      <c r="G249" s="32">
        <f t="shared" si="237"/>
        <v>0</v>
      </c>
      <c r="H249" s="32">
        <f t="shared" si="237"/>
        <v>0</v>
      </c>
      <c r="I249" s="32">
        <f t="shared" si="237"/>
        <v>0</v>
      </c>
      <c r="J249" s="32">
        <f t="shared" si="237"/>
        <v>0</v>
      </c>
      <c r="K249" s="32">
        <f t="shared" si="237"/>
        <v>0</v>
      </c>
      <c r="L249" s="5">
        <f t="shared" si="231"/>
        <v>0</v>
      </c>
    </row>
    <row r="250" spans="1:13" x14ac:dyDescent="0.25">
      <c r="A250" s="4" t="s">
        <v>125</v>
      </c>
      <c r="B250" s="32">
        <f t="shared" ref="B250:K250" si="238">$E10*B237</f>
        <v>0</v>
      </c>
      <c r="C250" s="32">
        <f t="shared" si="238"/>
        <v>0</v>
      </c>
      <c r="D250" s="32">
        <f t="shared" si="238"/>
        <v>0</v>
      </c>
      <c r="E250" s="32">
        <f t="shared" si="238"/>
        <v>0</v>
      </c>
      <c r="F250" s="32">
        <f t="shared" si="238"/>
        <v>0</v>
      </c>
      <c r="G250" s="32">
        <f t="shared" si="238"/>
        <v>0</v>
      </c>
      <c r="H250" s="32">
        <f t="shared" si="238"/>
        <v>0</v>
      </c>
      <c r="I250" s="32">
        <f t="shared" si="238"/>
        <v>0</v>
      </c>
      <c r="J250" s="32">
        <f t="shared" si="238"/>
        <v>0</v>
      </c>
      <c r="K250" s="32">
        <f t="shared" si="238"/>
        <v>0</v>
      </c>
      <c r="L250" s="5">
        <f t="shared" si="231"/>
        <v>0</v>
      </c>
    </row>
    <row r="251" spans="1:13" x14ac:dyDescent="0.25">
      <c r="A251" s="4" t="s">
        <v>37</v>
      </c>
      <c r="B251" s="32">
        <f t="shared" ref="B251:K251" si="239">$E11*B238</f>
        <v>37765910.174399994</v>
      </c>
      <c r="C251" s="32">
        <f t="shared" si="239"/>
        <v>37765910.174399994</v>
      </c>
      <c r="D251" s="32">
        <f t="shared" si="239"/>
        <v>37765910.174399994</v>
      </c>
      <c r="E251" s="32">
        <f t="shared" si="239"/>
        <v>37765910.174399994</v>
      </c>
      <c r="F251" s="32">
        <f t="shared" si="239"/>
        <v>37765910.174399994</v>
      </c>
      <c r="G251" s="32">
        <f t="shared" si="239"/>
        <v>37765910.174399994</v>
      </c>
      <c r="H251" s="32">
        <f t="shared" si="239"/>
        <v>37765910.174399994</v>
      </c>
      <c r="I251" s="32">
        <f t="shared" si="239"/>
        <v>37765910.174399994</v>
      </c>
      <c r="J251" s="32">
        <f t="shared" si="239"/>
        <v>37765910.174399994</v>
      </c>
      <c r="K251" s="32">
        <f t="shared" si="239"/>
        <v>37765910.174399994</v>
      </c>
      <c r="L251" s="5">
        <f t="shared" si="231"/>
        <v>37765910.174399987</v>
      </c>
    </row>
    <row r="252" spans="1:13" x14ac:dyDescent="0.25">
      <c r="A252" s="4" t="s">
        <v>38</v>
      </c>
      <c r="B252" s="32">
        <f t="shared" ref="B252:K252" si="240">$E12*B239</f>
        <v>14884789.340000005</v>
      </c>
      <c r="C252" s="32">
        <f t="shared" si="240"/>
        <v>14884789.340000005</v>
      </c>
      <c r="D252" s="32">
        <f t="shared" si="240"/>
        <v>14884789.340000005</v>
      </c>
      <c r="E252" s="32">
        <f t="shared" si="240"/>
        <v>14884789.340000005</v>
      </c>
      <c r="F252" s="32">
        <f t="shared" si="240"/>
        <v>14884789.340000005</v>
      </c>
      <c r="G252" s="32">
        <f t="shared" si="240"/>
        <v>14884789.340000005</v>
      </c>
      <c r="H252" s="32">
        <f t="shared" si="240"/>
        <v>14884789.340000005</v>
      </c>
      <c r="I252" s="32">
        <f t="shared" si="240"/>
        <v>14884789.340000005</v>
      </c>
      <c r="J252" s="32">
        <f t="shared" si="240"/>
        <v>14884789.340000005</v>
      </c>
      <c r="K252" s="32">
        <f t="shared" si="240"/>
        <v>14884789.340000005</v>
      </c>
      <c r="L252" s="5">
        <f t="shared" si="231"/>
        <v>14884789.340000007</v>
      </c>
    </row>
    <row r="253" spans="1:13" x14ac:dyDescent="0.25">
      <c r="A253" s="4" t="s">
        <v>15</v>
      </c>
      <c r="B253" s="13">
        <f t="shared" ref="B253:K253" si="241">$E13*B240</f>
        <v>54969548.037499994</v>
      </c>
      <c r="C253" s="13">
        <f t="shared" si="241"/>
        <v>54969548.037499994</v>
      </c>
      <c r="D253" s="13">
        <f t="shared" si="241"/>
        <v>54969548.037499994</v>
      </c>
      <c r="E253" s="13">
        <f t="shared" si="241"/>
        <v>54969548.037499994</v>
      </c>
      <c r="F253" s="13">
        <f t="shared" si="241"/>
        <v>54969548.037499994</v>
      </c>
      <c r="G253" s="13">
        <f t="shared" si="241"/>
        <v>54969548.037499994</v>
      </c>
      <c r="H253" s="13">
        <f t="shared" si="241"/>
        <v>54969548.037499994</v>
      </c>
      <c r="I253" s="13">
        <f t="shared" si="241"/>
        <v>54969548.037499994</v>
      </c>
      <c r="J253" s="13">
        <f t="shared" si="241"/>
        <v>54969548.037499994</v>
      </c>
      <c r="K253" s="13">
        <f t="shared" si="241"/>
        <v>54969548.037499994</v>
      </c>
      <c r="L253" s="13">
        <f t="shared" si="231"/>
        <v>54969548.037500009</v>
      </c>
    </row>
    <row r="254" spans="1:13" x14ac:dyDescent="0.25">
      <c r="B254" s="5">
        <f t="shared" ref="B254:K254" si="242">SUM(B243:B253)</f>
        <v>178970562.70296666</v>
      </c>
      <c r="C254" s="5">
        <f t="shared" si="242"/>
        <v>178970562.70296666</v>
      </c>
      <c r="D254" s="5">
        <f t="shared" si="242"/>
        <v>178970562.70296666</v>
      </c>
      <c r="E254" s="5">
        <f t="shared" si="242"/>
        <v>178970562.70296666</v>
      </c>
      <c r="F254" s="5">
        <f t="shared" si="242"/>
        <v>178970562.70296666</v>
      </c>
      <c r="G254" s="5">
        <f t="shared" si="242"/>
        <v>178970562.70296666</v>
      </c>
      <c r="H254" s="5">
        <f t="shared" si="242"/>
        <v>178970562.70296666</v>
      </c>
      <c r="I254" s="5">
        <f t="shared" si="242"/>
        <v>178970562.70296666</v>
      </c>
      <c r="J254" s="5">
        <f t="shared" si="242"/>
        <v>178970562.70296666</v>
      </c>
      <c r="K254" s="5">
        <f t="shared" si="242"/>
        <v>178970562.70296666</v>
      </c>
      <c r="L254" s="5">
        <f t="shared" si="231"/>
        <v>178970562.70296666</v>
      </c>
      <c r="M254" s="62">
        <f>B254-SUM($E$3:$E$13)</f>
        <v>0</v>
      </c>
    </row>
    <row r="256" spans="1:13" x14ac:dyDescent="0.25">
      <c r="A256" s="59" t="s">
        <v>56</v>
      </c>
      <c r="L256" s="12" t="s">
        <v>28</v>
      </c>
    </row>
    <row r="257" spans="1:12" x14ac:dyDescent="0.25">
      <c r="A257" s="4" t="s">
        <v>35</v>
      </c>
      <c r="B257" s="14">
        <f>B243*B230*'Data inputs'!$B14</f>
        <v>7416720.6795220003</v>
      </c>
      <c r="C257" s="14">
        <f>C243*C230*'Data inputs'!$B14</f>
        <v>7416720.6795220003</v>
      </c>
      <c r="D257" s="14">
        <f>D243*D230*'Data inputs'!$B14</f>
        <v>7416720.6795220003</v>
      </c>
      <c r="E257" s="14">
        <f>E243*E230*'Data inputs'!$B14</f>
        <v>7416720.6795220003</v>
      </c>
      <c r="F257" s="14">
        <f>F243*F230*'Data inputs'!$B14</f>
        <v>7416720.6795220003</v>
      </c>
      <c r="G257" s="14">
        <f>G243*G230*'Data inputs'!$B14</f>
        <v>7416720.6795220003</v>
      </c>
      <c r="H257" s="14">
        <f>H243*H230*'Data inputs'!$B14</f>
        <v>7416720.6795220003</v>
      </c>
      <c r="I257" s="14">
        <f>I243*I230*'Data inputs'!$B14</f>
        <v>7416720.6795220003</v>
      </c>
      <c r="J257" s="14">
        <f>J243*J230*'Data inputs'!$B14</f>
        <v>7416720.6795220003</v>
      </c>
      <c r="K257" s="14">
        <f>K243*K230*'Data inputs'!$B14</f>
        <v>7416720.6795220003</v>
      </c>
      <c r="L257" s="5">
        <f t="shared" ref="L257:L268" si="243">AVERAGE(B257:K257)</f>
        <v>7416720.6795220003</v>
      </c>
    </row>
    <row r="258" spans="1:12" x14ac:dyDescent="0.25">
      <c r="A258" s="4" t="s">
        <v>36</v>
      </c>
      <c r="B258" s="14">
        <f>B244*B231*'Data inputs'!$B15</f>
        <v>2759053.3137000008</v>
      </c>
      <c r="C258" s="14">
        <f>C244*C231*'Data inputs'!$B15</f>
        <v>2759053.3137000008</v>
      </c>
      <c r="D258" s="14">
        <f>D244*D231*'Data inputs'!$B15</f>
        <v>2759053.3137000008</v>
      </c>
      <c r="E258" s="14">
        <f>E244*E231*'Data inputs'!$B15</f>
        <v>2759053.3137000008</v>
      </c>
      <c r="F258" s="14">
        <f>F244*F231*'Data inputs'!$B15</f>
        <v>2759053.3137000008</v>
      </c>
      <c r="G258" s="14">
        <f>G244*G231*'Data inputs'!$B15</f>
        <v>2759053.3137000008</v>
      </c>
      <c r="H258" s="14">
        <f>H244*H231*'Data inputs'!$B15</f>
        <v>2759053.3137000008</v>
      </c>
      <c r="I258" s="14">
        <f>I244*I231*'Data inputs'!$B15</f>
        <v>2759053.3137000008</v>
      </c>
      <c r="J258" s="14">
        <f>J244*J231*'Data inputs'!$B15</f>
        <v>2759053.3137000008</v>
      </c>
      <c r="K258" s="14">
        <f>K244*K231*'Data inputs'!$B15</f>
        <v>2759053.3137000008</v>
      </c>
      <c r="L258" s="5">
        <f t="shared" si="243"/>
        <v>2759053.3137000012</v>
      </c>
    </row>
    <row r="259" spans="1:12" x14ac:dyDescent="0.25">
      <c r="A259" s="4" t="s">
        <v>11</v>
      </c>
      <c r="B259" s="14">
        <f>B245*B232*'Data inputs'!$B16</f>
        <v>0</v>
      </c>
      <c r="C259" s="14">
        <f>C245*C232*'Data inputs'!$B16</f>
        <v>0</v>
      </c>
      <c r="D259" s="14">
        <f>D245*D232*'Data inputs'!$B16</f>
        <v>0</v>
      </c>
      <c r="E259" s="14">
        <f>E245*E232*'Data inputs'!$B16</f>
        <v>0</v>
      </c>
      <c r="F259" s="14">
        <f>F245*F232*'Data inputs'!$B16</f>
        <v>0</v>
      </c>
      <c r="G259" s="14">
        <f>G245*G232*'Data inputs'!$B16</f>
        <v>0</v>
      </c>
      <c r="H259" s="14">
        <f>H245*H232*'Data inputs'!$B16</f>
        <v>0</v>
      </c>
      <c r="I259" s="14">
        <f>I245*I232*'Data inputs'!$B16</f>
        <v>0</v>
      </c>
      <c r="J259" s="14">
        <f>J245*J232*'Data inputs'!$B16</f>
        <v>0</v>
      </c>
      <c r="K259" s="14">
        <f>K245*K232*'Data inputs'!$B16</f>
        <v>0</v>
      </c>
      <c r="L259" s="5">
        <f t="shared" si="243"/>
        <v>0</v>
      </c>
    </row>
    <row r="260" spans="1:12" x14ac:dyDescent="0.25">
      <c r="A260" s="4" t="s">
        <v>124</v>
      </c>
      <c r="B260" s="14">
        <f>B246*B233*'Data inputs'!$B17</f>
        <v>4945191.5240000002</v>
      </c>
      <c r="C260" s="14">
        <f>C246*C233*'Data inputs'!$B17</f>
        <v>4945191.5240000002</v>
      </c>
      <c r="D260" s="14">
        <f>D246*D233*'Data inputs'!$B17</f>
        <v>4945191.5240000002</v>
      </c>
      <c r="E260" s="14">
        <f>E246*E233*'Data inputs'!$B17</f>
        <v>4945191.5240000002</v>
      </c>
      <c r="F260" s="14">
        <f>F246*F233*'Data inputs'!$B17</f>
        <v>4945191.5240000002</v>
      </c>
      <c r="G260" s="14">
        <f>G246*G233*'Data inputs'!$B17</f>
        <v>4945191.5240000002</v>
      </c>
      <c r="H260" s="14">
        <f>H246*H233*'Data inputs'!$B17</f>
        <v>4945191.5240000002</v>
      </c>
      <c r="I260" s="14">
        <f>I246*I233*'Data inputs'!$B17</f>
        <v>4945191.5240000002</v>
      </c>
      <c r="J260" s="14">
        <f>J246*J233*'Data inputs'!$B17</f>
        <v>4945191.5240000002</v>
      </c>
      <c r="K260" s="14">
        <f>K246*K233*'Data inputs'!$B17</f>
        <v>4945191.5240000002</v>
      </c>
      <c r="L260" s="5">
        <f t="shared" si="243"/>
        <v>4945191.5240000011</v>
      </c>
    </row>
    <row r="261" spans="1:12" x14ac:dyDescent="0.25">
      <c r="A261" s="4" t="s">
        <v>12</v>
      </c>
      <c r="B261" s="14">
        <f>B247*B234*'Data inputs'!$B18</f>
        <v>4633987.658846668</v>
      </c>
      <c r="C261" s="14">
        <f>C247*C234*'Data inputs'!$B18</f>
        <v>4633987.658846668</v>
      </c>
      <c r="D261" s="14">
        <f>D247*D234*'Data inputs'!$B18</f>
        <v>4633987.658846668</v>
      </c>
      <c r="E261" s="14">
        <f>E247*E234*'Data inputs'!$B18</f>
        <v>4633987.658846668</v>
      </c>
      <c r="F261" s="14">
        <f>F247*F234*'Data inputs'!$B18</f>
        <v>4633987.658846668</v>
      </c>
      <c r="G261" s="14">
        <f>G247*G234*'Data inputs'!$B18</f>
        <v>4633987.658846668</v>
      </c>
      <c r="H261" s="14">
        <f>H247*H234*'Data inputs'!$B18</f>
        <v>4633987.658846668</v>
      </c>
      <c r="I261" s="14">
        <f>I247*I234*'Data inputs'!$B18</f>
        <v>4633987.658846668</v>
      </c>
      <c r="J261" s="14">
        <f>J247*J234*'Data inputs'!$B18</f>
        <v>4633987.658846668</v>
      </c>
      <c r="K261" s="14">
        <f>K247*K234*'Data inputs'!$B18</f>
        <v>4633987.658846668</v>
      </c>
      <c r="L261" s="5">
        <f t="shared" si="243"/>
        <v>4633987.658846668</v>
      </c>
    </row>
    <row r="262" spans="1:12" x14ac:dyDescent="0.25">
      <c r="A262" s="4" t="s">
        <v>13</v>
      </c>
      <c r="B262" s="14">
        <f>B248*B235*'Data inputs'!$B19</f>
        <v>0</v>
      </c>
      <c r="C262" s="14">
        <f>C248*C235*'Data inputs'!$B19</f>
        <v>0</v>
      </c>
      <c r="D262" s="14">
        <f>D248*D235*'Data inputs'!$B19</f>
        <v>0</v>
      </c>
      <c r="E262" s="14">
        <f>E248*E235*'Data inputs'!$B19</f>
        <v>0</v>
      </c>
      <c r="F262" s="14">
        <f>F248*F235*'Data inputs'!$B19</f>
        <v>0</v>
      </c>
      <c r="G262" s="14">
        <f>G248*G235*'Data inputs'!$B19</f>
        <v>0</v>
      </c>
      <c r="H262" s="14">
        <f>H248*H235*'Data inputs'!$B19</f>
        <v>0</v>
      </c>
      <c r="I262" s="14">
        <f>I248*I235*'Data inputs'!$B19</f>
        <v>0</v>
      </c>
      <c r="J262" s="14">
        <f>J248*J235*'Data inputs'!$B19</f>
        <v>0</v>
      </c>
      <c r="K262" s="14">
        <f>K248*K235*'Data inputs'!$B19</f>
        <v>0</v>
      </c>
      <c r="L262" s="5">
        <f t="shared" si="243"/>
        <v>0</v>
      </c>
    </row>
    <row r="263" spans="1:12" x14ac:dyDescent="0.25">
      <c r="A263" s="4" t="s">
        <v>14</v>
      </c>
      <c r="B263" s="14">
        <f>B249*B236*'Data inputs'!$B20</f>
        <v>0</v>
      </c>
      <c r="C263" s="14">
        <f>C249*C236*'Data inputs'!$B20</f>
        <v>0</v>
      </c>
      <c r="D263" s="14">
        <f>D249*D236*'Data inputs'!$B20</f>
        <v>0</v>
      </c>
      <c r="E263" s="14">
        <f>E249*E236*'Data inputs'!$B20</f>
        <v>0</v>
      </c>
      <c r="F263" s="14">
        <f>F249*F236*'Data inputs'!$B20</f>
        <v>0</v>
      </c>
      <c r="G263" s="14">
        <f>G249*G236*'Data inputs'!$B20</f>
        <v>0</v>
      </c>
      <c r="H263" s="14">
        <f>H249*H236*'Data inputs'!$B20</f>
        <v>0</v>
      </c>
      <c r="I263" s="14">
        <f>I249*I236*'Data inputs'!$B20</f>
        <v>0</v>
      </c>
      <c r="J263" s="14">
        <f>J249*J236*'Data inputs'!$B20</f>
        <v>0</v>
      </c>
      <c r="K263" s="14">
        <f>K249*K236*'Data inputs'!$B20</f>
        <v>0</v>
      </c>
      <c r="L263" s="5">
        <f t="shared" si="243"/>
        <v>0</v>
      </c>
    </row>
    <row r="264" spans="1:12" x14ac:dyDescent="0.25">
      <c r="A264" s="4" t="s">
        <v>125</v>
      </c>
      <c r="B264" s="14">
        <f>B250*B237*'Data inputs'!$B21</f>
        <v>0</v>
      </c>
      <c r="C264" s="14">
        <f>C250*C237*'Data inputs'!$B21</f>
        <v>0</v>
      </c>
      <c r="D264" s="14">
        <f>D250*D237*'Data inputs'!$B21</f>
        <v>0</v>
      </c>
      <c r="E264" s="14">
        <f>E250*E237*'Data inputs'!$B21</f>
        <v>0</v>
      </c>
      <c r="F264" s="14">
        <f>F250*F237*'Data inputs'!$B21</f>
        <v>0</v>
      </c>
      <c r="G264" s="14">
        <f>G250*G237*'Data inputs'!$B21</f>
        <v>0</v>
      </c>
      <c r="H264" s="14">
        <f>H250*H237*'Data inputs'!$B21</f>
        <v>0</v>
      </c>
      <c r="I264" s="14">
        <f>I250*I237*'Data inputs'!$B21</f>
        <v>0</v>
      </c>
      <c r="J264" s="14">
        <f>J250*J237*'Data inputs'!$B21</f>
        <v>0</v>
      </c>
      <c r="K264" s="14">
        <f>K250*K237*'Data inputs'!$B21</f>
        <v>0</v>
      </c>
      <c r="L264" s="5">
        <f t="shared" si="243"/>
        <v>0</v>
      </c>
    </row>
    <row r="265" spans="1:12" x14ac:dyDescent="0.25">
      <c r="A265" s="4" t="s">
        <v>37</v>
      </c>
      <c r="B265" s="14">
        <f>B251*B238*'Data inputs'!$B22</f>
        <v>23792523.409871995</v>
      </c>
      <c r="C265" s="14">
        <f>C251*C238*'Data inputs'!$B22</f>
        <v>23792523.409871995</v>
      </c>
      <c r="D265" s="14">
        <f>D251*D238*'Data inputs'!$B22</f>
        <v>23792523.409871995</v>
      </c>
      <c r="E265" s="14">
        <f>E251*E238*'Data inputs'!$B22</f>
        <v>23792523.409871995</v>
      </c>
      <c r="F265" s="14">
        <f>F251*F238*'Data inputs'!$B22</f>
        <v>23792523.409871995</v>
      </c>
      <c r="G265" s="14">
        <f>G251*G238*'Data inputs'!$B22</f>
        <v>23792523.409871995</v>
      </c>
      <c r="H265" s="14">
        <f>H251*H238*'Data inputs'!$B22</f>
        <v>23792523.409871995</v>
      </c>
      <c r="I265" s="14">
        <f>I251*I238*'Data inputs'!$B22</f>
        <v>23792523.409871995</v>
      </c>
      <c r="J265" s="14">
        <f>J251*J238*'Data inputs'!$B22</f>
        <v>23792523.409871995</v>
      </c>
      <c r="K265" s="14">
        <f>K251*K238*'Data inputs'!$B22</f>
        <v>23792523.409871995</v>
      </c>
      <c r="L265" s="5">
        <f t="shared" si="243"/>
        <v>23792523.409871995</v>
      </c>
    </row>
    <row r="266" spans="1:12" x14ac:dyDescent="0.25">
      <c r="A266" s="4" t="s">
        <v>38</v>
      </c>
      <c r="B266" s="14">
        <f>B252*B239*'Data inputs'!$B23</f>
        <v>1488478.9340000006</v>
      </c>
      <c r="C266" s="14">
        <f>C252*C239*'Data inputs'!$B23</f>
        <v>1488478.9340000006</v>
      </c>
      <c r="D266" s="14">
        <f>D252*D239*'Data inputs'!$B23</f>
        <v>1488478.9340000006</v>
      </c>
      <c r="E266" s="14">
        <f>E252*E239*'Data inputs'!$B23</f>
        <v>1488478.9340000006</v>
      </c>
      <c r="F266" s="14">
        <f>F252*F239*'Data inputs'!$B23</f>
        <v>1488478.9340000006</v>
      </c>
      <c r="G266" s="14">
        <f>G252*G239*'Data inputs'!$B23</f>
        <v>1488478.9340000006</v>
      </c>
      <c r="H266" s="14">
        <f>H252*H239*'Data inputs'!$B23</f>
        <v>1488478.9340000006</v>
      </c>
      <c r="I266" s="14">
        <f>I252*I239*'Data inputs'!$B23</f>
        <v>1488478.9340000006</v>
      </c>
      <c r="J266" s="14">
        <f>J252*J239*'Data inputs'!$B23</f>
        <v>1488478.9340000006</v>
      </c>
      <c r="K266" s="14">
        <f>K252*K239*'Data inputs'!$B23</f>
        <v>1488478.9340000006</v>
      </c>
      <c r="L266" s="5">
        <f t="shared" si="243"/>
        <v>1488478.9340000006</v>
      </c>
    </row>
    <row r="267" spans="1:12" x14ac:dyDescent="0.25">
      <c r="A267" s="4" t="s">
        <v>15</v>
      </c>
      <c r="B267" s="60">
        <f>B253*B240*'Data inputs'!$B24</f>
        <v>21987819.215</v>
      </c>
      <c r="C267" s="60">
        <f>C253*C240*'Data inputs'!$B24</f>
        <v>21987819.215</v>
      </c>
      <c r="D267" s="60">
        <f>D253*D240*'Data inputs'!$B24</f>
        <v>21987819.215</v>
      </c>
      <c r="E267" s="60">
        <f>E253*E240*'Data inputs'!$B24</f>
        <v>21987819.215</v>
      </c>
      <c r="F267" s="60">
        <f>F253*F240*'Data inputs'!$B24</f>
        <v>21987819.215</v>
      </c>
      <c r="G267" s="60">
        <f>G253*G240*'Data inputs'!$B24</f>
        <v>21987819.215</v>
      </c>
      <c r="H267" s="60">
        <f>H253*H240*'Data inputs'!$B24</f>
        <v>21987819.215</v>
      </c>
      <c r="I267" s="60">
        <f>I253*I240*'Data inputs'!$B24</f>
        <v>21987819.215</v>
      </c>
      <c r="J267" s="60">
        <f>J253*J240*'Data inputs'!$B24</f>
        <v>21987819.215</v>
      </c>
      <c r="K267" s="60">
        <f>K253*K240*'Data inputs'!$B24</f>
        <v>21987819.215</v>
      </c>
      <c r="L267" s="13">
        <f t="shared" si="243"/>
        <v>21987819.215</v>
      </c>
    </row>
    <row r="268" spans="1:12" x14ac:dyDescent="0.25">
      <c r="B268" s="14">
        <f>SUM(B257:B267)</f>
        <v>67023774.734940663</v>
      </c>
      <c r="C268" s="14">
        <f t="shared" ref="C268" si="244">SUM(C257:C267)</f>
        <v>67023774.734940663</v>
      </c>
      <c r="D268" s="14">
        <f t="shared" ref="D268" si="245">SUM(D257:D267)</f>
        <v>67023774.734940663</v>
      </c>
      <c r="E268" s="14">
        <f t="shared" ref="E268" si="246">SUM(E257:E267)</f>
        <v>67023774.734940663</v>
      </c>
      <c r="F268" s="14">
        <f t="shared" ref="F268" si="247">SUM(F257:F267)</f>
        <v>67023774.734940663</v>
      </c>
      <c r="G268" s="14">
        <f t="shared" ref="G268" si="248">SUM(G257:G267)</f>
        <v>67023774.734940663</v>
      </c>
      <c r="H268" s="14">
        <f t="shared" ref="H268" si="249">SUM(H257:H267)</f>
        <v>67023774.734940663</v>
      </c>
      <c r="I268" s="14">
        <f t="shared" ref="I268" si="250">SUM(I257:I267)</f>
        <v>67023774.734940663</v>
      </c>
      <c r="J268" s="14">
        <f t="shared" ref="J268" si="251">SUM(J257:J267)</f>
        <v>67023774.734940663</v>
      </c>
      <c r="K268" s="14">
        <f t="shared" ref="K268" si="252">SUM(K257:K267)</f>
        <v>67023774.734940663</v>
      </c>
      <c r="L268" s="5">
        <f t="shared" si="243"/>
        <v>67023774.734940663</v>
      </c>
    </row>
    <row r="269" spans="1:12" x14ac:dyDescent="0.25">
      <c r="B269" s="16">
        <f>B268/B$254</f>
        <v>0.37449608316971372</v>
      </c>
      <c r="C269" s="16">
        <f t="shared" ref="C269:K269" si="253">C268/C$254</f>
        <v>0.37449608316971372</v>
      </c>
      <c r="D269" s="16">
        <f t="shared" si="253"/>
        <v>0.37449608316971372</v>
      </c>
      <c r="E269" s="16">
        <f t="shared" si="253"/>
        <v>0.37449608316971372</v>
      </c>
      <c r="F269" s="16">
        <f t="shared" si="253"/>
        <v>0.37449608316971372</v>
      </c>
      <c r="G269" s="16">
        <f t="shared" si="253"/>
        <v>0.37449608316971372</v>
      </c>
      <c r="H269" s="16">
        <f t="shared" si="253"/>
        <v>0.37449608316971372</v>
      </c>
      <c r="I269" s="16">
        <f t="shared" si="253"/>
        <v>0.37449608316971372</v>
      </c>
      <c r="J269" s="16">
        <f t="shared" si="253"/>
        <v>0.37449608316971372</v>
      </c>
      <c r="K269" s="16">
        <f t="shared" si="253"/>
        <v>0.37449608316971372</v>
      </c>
    </row>
    <row r="270" spans="1:12" x14ac:dyDescent="0.25">
      <c r="B270" s="16"/>
      <c r="C270" s="16"/>
      <c r="D270" s="16"/>
      <c r="E270" s="16"/>
      <c r="F270" s="16"/>
      <c r="G270" s="16"/>
      <c r="H270" s="16"/>
      <c r="I270" s="16"/>
      <c r="J270" s="16"/>
      <c r="K270" s="16"/>
    </row>
    <row r="271" spans="1:12" x14ac:dyDescent="0.25">
      <c r="A271" s="59" t="s">
        <v>57</v>
      </c>
      <c r="L271" s="12" t="s">
        <v>28</v>
      </c>
    </row>
    <row r="272" spans="1:12" x14ac:dyDescent="0.25">
      <c r="A272" s="4" t="s">
        <v>35</v>
      </c>
      <c r="B272" s="14">
        <f>B243*B230*'Data inputs'!$C14</f>
        <v>5490299.7238020003</v>
      </c>
      <c r="C272" s="14">
        <f>C243*C230*'Data inputs'!$C14</f>
        <v>5490299.7238020003</v>
      </c>
      <c r="D272" s="14">
        <f>D243*D230*'Data inputs'!$C14</f>
        <v>5490299.7238020003</v>
      </c>
      <c r="E272" s="14">
        <f>E243*E230*'Data inputs'!$C14</f>
        <v>5490299.7238020003</v>
      </c>
      <c r="F272" s="14">
        <f>F243*F230*'Data inputs'!$C14</f>
        <v>5490299.7238020003</v>
      </c>
      <c r="G272" s="14">
        <f>G243*G230*'Data inputs'!$C14</f>
        <v>5490299.7238020003</v>
      </c>
      <c r="H272" s="14">
        <f>H243*H230*'Data inputs'!$C14</f>
        <v>5490299.7238020003</v>
      </c>
      <c r="I272" s="14">
        <f>I243*I230*'Data inputs'!$C14</f>
        <v>5490299.7238020003</v>
      </c>
      <c r="J272" s="14">
        <f>J243*J230*'Data inputs'!$C14</f>
        <v>5490299.7238020003</v>
      </c>
      <c r="K272" s="14">
        <f>K243*K230*'Data inputs'!$C14</f>
        <v>5490299.7238020003</v>
      </c>
      <c r="L272" s="5">
        <f t="shared" ref="L272:L283" si="254">AVERAGE(B272:K272)</f>
        <v>5490299.7238020003</v>
      </c>
    </row>
    <row r="273" spans="1:12" x14ac:dyDescent="0.25">
      <c r="A273" s="4" t="s">
        <v>36</v>
      </c>
      <c r="B273" s="14">
        <f>B244*B231*'Data inputs'!$C15</f>
        <v>919684.43790000014</v>
      </c>
      <c r="C273" s="14">
        <f>C244*C231*'Data inputs'!$C15</f>
        <v>919684.43790000014</v>
      </c>
      <c r="D273" s="14">
        <f>D244*D231*'Data inputs'!$C15</f>
        <v>919684.43790000014</v>
      </c>
      <c r="E273" s="14">
        <f>E244*E231*'Data inputs'!$C15</f>
        <v>919684.43790000014</v>
      </c>
      <c r="F273" s="14">
        <f>F244*F231*'Data inputs'!$C15</f>
        <v>919684.43790000014</v>
      </c>
      <c r="G273" s="14">
        <f>G244*G231*'Data inputs'!$C15</f>
        <v>919684.43790000014</v>
      </c>
      <c r="H273" s="14">
        <f>H244*H231*'Data inputs'!$C15</f>
        <v>919684.43790000014</v>
      </c>
      <c r="I273" s="14">
        <f>I244*I231*'Data inputs'!$C15</f>
        <v>919684.43790000014</v>
      </c>
      <c r="J273" s="14">
        <f>J244*J231*'Data inputs'!$C15</f>
        <v>919684.43790000014</v>
      </c>
      <c r="K273" s="14">
        <f>K244*K231*'Data inputs'!$C15</f>
        <v>919684.43790000014</v>
      </c>
      <c r="L273" s="5">
        <f t="shared" si="254"/>
        <v>919684.43790000002</v>
      </c>
    </row>
    <row r="274" spans="1:12" x14ac:dyDescent="0.25">
      <c r="A274" s="4" t="s">
        <v>11</v>
      </c>
      <c r="B274" s="14">
        <f>B245*B232*'Data inputs'!$C16</f>
        <v>0</v>
      </c>
      <c r="C274" s="14">
        <f>C245*C232*'Data inputs'!$C16</f>
        <v>0</v>
      </c>
      <c r="D274" s="14">
        <f>D245*D232*'Data inputs'!$C16</f>
        <v>0</v>
      </c>
      <c r="E274" s="14">
        <f>E245*E232*'Data inputs'!$C16</f>
        <v>0</v>
      </c>
      <c r="F274" s="14">
        <f>F245*F232*'Data inputs'!$C16</f>
        <v>0</v>
      </c>
      <c r="G274" s="14">
        <f>G245*G232*'Data inputs'!$C16</f>
        <v>0</v>
      </c>
      <c r="H274" s="14">
        <f>H245*H232*'Data inputs'!$C16</f>
        <v>0</v>
      </c>
      <c r="I274" s="14">
        <f>I245*I232*'Data inputs'!$C16</f>
        <v>0</v>
      </c>
      <c r="J274" s="14">
        <f>J245*J232*'Data inputs'!$C16</f>
        <v>0</v>
      </c>
      <c r="K274" s="14">
        <f>K245*K232*'Data inputs'!$C16</f>
        <v>0</v>
      </c>
      <c r="L274" s="5">
        <f t="shared" si="254"/>
        <v>0</v>
      </c>
    </row>
    <row r="275" spans="1:12" x14ac:dyDescent="0.25">
      <c r="A275" s="4" t="s">
        <v>124</v>
      </c>
      <c r="B275" s="14">
        <f>B246*B233*'Data inputs'!$C17</f>
        <v>3708893.6430000006</v>
      </c>
      <c r="C275" s="14">
        <f>C246*C233*'Data inputs'!$C17</f>
        <v>3708893.6430000006</v>
      </c>
      <c r="D275" s="14">
        <f>D246*D233*'Data inputs'!$C17</f>
        <v>3708893.6430000006</v>
      </c>
      <c r="E275" s="14">
        <f>E246*E233*'Data inputs'!$C17</f>
        <v>3708893.6430000006</v>
      </c>
      <c r="F275" s="14">
        <f>F246*F233*'Data inputs'!$C17</f>
        <v>3708893.6430000006</v>
      </c>
      <c r="G275" s="14">
        <f>G246*G233*'Data inputs'!$C17</f>
        <v>3708893.6430000006</v>
      </c>
      <c r="H275" s="14">
        <f>H246*H233*'Data inputs'!$C17</f>
        <v>3708893.6430000006</v>
      </c>
      <c r="I275" s="14">
        <f>I246*I233*'Data inputs'!$C17</f>
        <v>3708893.6430000006</v>
      </c>
      <c r="J275" s="14">
        <f>J246*J233*'Data inputs'!$C17</f>
        <v>3708893.6430000006</v>
      </c>
      <c r="K275" s="14">
        <f>K246*K233*'Data inputs'!$C17</f>
        <v>3708893.6430000006</v>
      </c>
      <c r="L275" s="5">
        <f t="shared" si="254"/>
        <v>3708893.6430000002</v>
      </c>
    </row>
    <row r="276" spans="1:12" x14ac:dyDescent="0.25">
      <c r="A276" s="4" t="s">
        <v>12</v>
      </c>
      <c r="B276" s="14">
        <f>B247*B234*'Data inputs'!$C18</f>
        <v>0</v>
      </c>
      <c r="C276" s="14">
        <f>C247*C234*'Data inputs'!$C18</f>
        <v>0</v>
      </c>
      <c r="D276" s="14">
        <f>D247*D234*'Data inputs'!$C18</f>
        <v>0</v>
      </c>
      <c r="E276" s="14">
        <f>E247*E234*'Data inputs'!$C18</f>
        <v>0</v>
      </c>
      <c r="F276" s="14">
        <f>F247*F234*'Data inputs'!$C18</f>
        <v>0</v>
      </c>
      <c r="G276" s="14">
        <f>G247*G234*'Data inputs'!$C18</f>
        <v>0</v>
      </c>
      <c r="H276" s="14">
        <f>H247*H234*'Data inputs'!$C18</f>
        <v>0</v>
      </c>
      <c r="I276" s="14">
        <f>I247*I234*'Data inputs'!$C18</f>
        <v>0</v>
      </c>
      <c r="J276" s="14">
        <f>J247*J234*'Data inputs'!$C18</f>
        <v>0</v>
      </c>
      <c r="K276" s="14">
        <f>K247*K234*'Data inputs'!$C18</f>
        <v>0</v>
      </c>
      <c r="L276" s="5">
        <f t="shared" si="254"/>
        <v>0</v>
      </c>
    </row>
    <row r="277" spans="1:12" x14ac:dyDescent="0.25">
      <c r="A277" s="4" t="s">
        <v>13</v>
      </c>
      <c r="B277" s="14">
        <f>B248*B235*'Data inputs'!$C19</f>
        <v>0</v>
      </c>
      <c r="C277" s="14">
        <f>C248*C235*'Data inputs'!$C19</f>
        <v>0</v>
      </c>
      <c r="D277" s="14">
        <f>D248*D235*'Data inputs'!$C19</f>
        <v>0</v>
      </c>
      <c r="E277" s="14">
        <f>E248*E235*'Data inputs'!$C19</f>
        <v>0</v>
      </c>
      <c r="F277" s="14">
        <f>F248*F235*'Data inputs'!$C19</f>
        <v>0</v>
      </c>
      <c r="G277" s="14">
        <f>G248*G235*'Data inputs'!$C19</f>
        <v>0</v>
      </c>
      <c r="H277" s="14">
        <f>H248*H235*'Data inputs'!$C19</f>
        <v>0</v>
      </c>
      <c r="I277" s="14">
        <f>I248*I235*'Data inputs'!$C19</f>
        <v>0</v>
      </c>
      <c r="J277" s="14">
        <f>J248*J235*'Data inputs'!$C19</f>
        <v>0</v>
      </c>
      <c r="K277" s="14">
        <f>K248*K235*'Data inputs'!$C19</f>
        <v>0</v>
      </c>
      <c r="L277" s="5">
        <f t="shared" si="254"/>
        <v>0</v>
      </c>
    </row>
    <row r="278" spans="1:12" x14ac:dyDescent="0.25">
      <c r="A278" s="4" t="s">
        <v>14</v>
      </c>
      <c r="B278" s="14">
        <f>B249*B236*'Data inputs'!$C20</f>
        <v>0</v>
      </c>
      <c r="C278" s="14">
        <f>C249*C236*'Data inputs'!$C20</f>
        <v>0</v>
      </c>
      <c r="D278" s="14">
        <f>D249*D236*'Data inputs'!$C20</f>
        <v>0</v>
      </c>
      <c r="E278" s="14">
        <f>E249*E236*'Data inputs'!$C20</f>
        <v>0</v>
      </c>
      <c r="F278" s="14">
        <f>F249*F236*'Data inputs'!$C20</f>
        <v>0</v>
      </c>
      <c r="G278" s="14">
        <f>G249*G236*'Data inputs'!$C20</f>
        <v>0</v>
      </c>
      <c r="H278" s="14">
        <f>H249*H236*'Data inputs'!$C20</f>
        <v>0</v>
      </c>
      <c r="I278" s="14">
        <f>I249*I236*'Data inputs'!$C20</f>
        <v>0</v>
      </c>
      <c r="J278" s="14">
        <f>J249*J236*'Data inputs'!$C20</f>
        <v>0</v>
      </c>
      <c r="K278" s="14">
        <f>K249*K236*'Data inputs'!$C20</f>
        <v>0</v>
      </c>
      <c r="L278" s="5">
        <f t="shared" si="254"/>
        <v>0</v>
      </c>
    </row>
    <row r="279" spans="1:12" x14ac:dyDescent="0.25">
      <c r="A279" s="4" t="s">
        <v>125</v>
      </c>
      <c r="B279" s="14">
        <f>B250*B237*'Data inputs'!$C21</f>
        <v>0</v>
      </c>
      <c r="C279" s="14">
        <f>C250*C237*'Data inputs'!$C21</f>
        <v>0</v>
      </c>
      <c r="D279" s="14">
        <f>D250*D237*'Data inputs'!$C21</f>
        <v>0</v>
      </c>
      <c r="E279" s="14">
        <f>E250*E237*'Data inputs'!$C21</f>
        <v>0</v>
      </c>
      <c r="F279" s="14">
        <f>F250*F237*'Data inputs'!$C21</f>
        <v>0</v>
      </c>
      <c r="G279" s="14">
        <f>G250*G237*'Data inputs'!$C21</f>
        <v>0</v>
      </c>
      <c r="H279" s="14">
        <f>H250*H237*'Data inputs'!$C21</f>
        <v>0</v>
      </c>
      <c r="I279" s="14">
        <f>I250*I237*'Data inputs'!$C21</f>
        <v>0</v>
      </c>
      <c r="J279" s="14">
        <f>J250*J237*'Data inputs'!$C21</f>
        <v>0</v>
      </c>
      <c r="K279" s="14">
        <f>K250*K237*'Data inputs'!$C21</f>
        <v>0</v>
      </c>
      <c r="L279" s="5">
        <f t="shared" si="254"/>
        <v>0</v>
      </c>
    </row>
    <row r="280" spans="1:12" x14ac:dyDescent="0.25">
      <c r="A280" s="4" t="s">
        <v>37</v>
      </c>
      <c r="B280" s="14">
        <f>B251*B238*'Data inputs'!$C22</f>
        <v>16239341.374992</v>
      </c>
      <c r="C280" s="14">
        <f>C251*C238*'Data inputs'!$C22</f>
        <v>16239341.374992</v>
      </c>
      <c r="D280" s="14">
        <f>D251*D238*'Data inputs'!$C22</f>
        <v>16239341.374992</v>
      </c>
      <c r="E280" s="14">
        <f>E251*E238*'Data inputs'!$C22</f>
        <v>16239341.374992</v>
      </c>
      <c r="F280" s="14">
        <f>F251*F238*'Data inputs'!$C22</f>
        <v>16239341.374992</v>
      </c>
      <c r="G280" s="14">
        <f>G251*G238*'Data inputs'!$C22</f>
        <v>16239341.374992</v>
      </c>
      <c r="H280" s="14">
        <f>H251*H238*'Data inputs'!$C22</f>
        <v>16239341.374992</v>
      </c>
      <c r="I280" s="14">
        <f>I251*I238*'Data inputs'!$C22</f>
        <v>16239341.374992</v>
      </c>
      <c r="J280" s="14">
        <f>J251*J238*'Data inputs'!$C22</f>
        <v>16239341.374992</v>
      </c>
      <c r="K280" s="14">
        <f>K251*K238*'Data inputs'!$C22</f>
        <v>16239341.374992</v>
      </c>
      <c r="L280" s="5">
        <f t="shared" si="254"/>
        <v>16239341.374992002</v>
      </c>
    </row>
    <row r="281" spans="1:12" x14ac:dyDescent="0.25">
      <c r="A281" s="4" t="s">
        <v>38</v>
      </c>
      <c r="B281" s="14">
        <f>B252*B239*'Data inputs'!$C23</f>
        <v>0</v>
      </c>
      <c r="C281" s="14">
        <f>C252*C239*'Data inputs'!$C23</f>
        <v>0</v>
      </c>
      <c r="D281" s="14">
        <f>D252*D239*'Data inputs'!$C23</f>
        <v>0</v>
      </c>
      <c r="E281" s="14">
        <f>E252*E239*'Data inputs'!$C23</f>
        <v>0</v>
      </c>
      <c r="F281" s="14">
        <f>F252*F239*'Data inputs'!$C23</f>
        <v>0</v>
      </c>
      <c r="G281" s="14">
        <f>G252*G239*'Data inputs'!$C23</f>
        <v>0</v>
      </c>
      <c r="H281" s="14">
        <f>H252*H239*'Data inputs'!$C23</f>
        <v>0</v>
      </c>
      <c r="I281" s="14">
        <f>I252*I239*'Data inputs'!$C23</f>
        <v>0</v>
      </c>
      <c r="J281" s="14">
        <f>J252*J239*'Data inputs'!$C23</f>
        <v>0</v>
      </c>
      <c r="K281" s="14">
        <f>K252*K239*'Data inputs'!$C23</f>
        <v>0</v>
      </c>
      <c r="L281" s="5">
        <f t="shared" si="254"/>
        <v>0</v>
      </c>
    </row>
    <row r="282" spans="1:12" x14ac:dyDescent="0.25">
      <c r="A282" s="4" t="s">
        <v>15</v>
      </c>
      <c r="B282" s="60">
        <f>B253*B240*'Data inputs'!$C24</f>
        <v>10993909.607499998</v>
      </c>
      <c r="C282" s="60">
        <f>C253*C240*'Data inputs'!$C24</f>
        <v>10993909.607499998</v>
      </c>
      <c r="D282" s="60">
        <f>D253*D240*'Data inputs'!$C24</f>
        <v>10993909.607499998</v>
      </c>
      <c r="E282" s="60">
        <f>E253*E240*'Data inputs'!$C24</f>
        <v>10993909.607499998</v>
      </c>
      <c r="F282" s="60">
        <f>F253*F240*'Data inputs'!$C24</f>
        <v>10993909.607499998</v>
      </c>
      <c r="G282" s="60">
        <f>G253*G240*'Data inputs'!$C24</f>
        <v>10993909.607499998</v>
      </c>
      <c r="H282" s="60">
        <f>H253*H240*'Data inputs'!$C24</f>
        <v>10993909.607499998</v>
      </c>
      <c r="I282" s="60">
        <f>I253*I240*'Data inputs'!$C24</f>
        <v>10993909.607499998</v>
      </c>
      <c r="J282" s="60">
        <f>J253*J240*'Data inputs'!$C24</f>
        <v>10993909.607499998</v>
      </c>
      <c r="K282" s="60">
        <f>K253*K240*'Data inputs'!$C24</f>
        <v>10993909.607499998</v>
      </c>
      <c r="L282" s="13">
        <f t="shared" si="254"/>
        <v>10993909.6075</v>
      </c>
    </row>
    <row r="283" spans="1:12" x14ac:dyDescent="0.25">
      <c r="B283" s="14">
        <f>SUM(B272:B282)</f>
        <v>37352128.787193999</v>
      </c>
      <c r="C283" s="14">
        <f t="shared" ref="C283" si="255">SUM(C272:C282)</f>
        <v>37352128.787193999</v>
      </c>
      <c r="D283" s="14">
        <f t="shared" ref="D283" si="256">SUM(D272:D282)</f>
        <v>37352128.787193999</v>
      </c>
      <c r="E283" s="14">
        <f t="shared" ref="E283" si="257">SUM(E272:E282)</f>
        <v>37352128.787193999</v>
      </c>
      <c r="F283" s="14">
        <f t="shared" ref="F283" si="258">SUM(F272:F282)</f>
        <v>37352128.787193999</v>
      </c>
      <c r="G283" s="14">
        <f t="shared" ref="G283" si="259">SUM(G272:G282)</f>
        <v>37352128.787193999</v>
      </c>
      <c r="H283" s="14">
        <f t="shared" ref="H283" si="260">SUM(H272:H282)</f>
        <v>37352128.787193999</v>
      </c>
      <c r="I283" s="14">
        <f t="shared" ref="I283" si="261">SUM(I272:I282)</f>
        <v>37352128.787193999</v>
      </c>
      <c r="J283" s="14">
        <f t="shared" ref="J283" si="262">SUM(J272:J282)</f>
        <v>37352128.787193999</v>
      </c>
      <c r="K283" s="14">
        <f t="shared" ref="K283" si="263">SUM(K272:K282)</f>
        <v>37352128.787193999</v>
      </c>
      <c r="L283" s="5">
        <f t="shared" si="254"/>
        <v>37352128.787194006</v>
      </c>
    </row>
    <row r="284" spans="1:12" x14ac:dyDescent="0.25">
      <c r="B284" s="16">
        <f>B283/B$254</f>
        <v>0.2087054330224489</v>
      </c>
      <c r="C284" s="16">
        <f t="shared" ref="C284" si="264">C283/C$254</f>
        <v>0.2087054330224489</v>
      </c>
      <c r="D284" s="16">
        <f t="shared" ref="D284" si="265">D283/D$254</f>
        <v>0.2087054330224489</v>
      </c>
      <c r="E284" s="16">
        <f t="shared" ref="E284" si="266">E283/E$254</f>
        <v>0.2087054330224489</v>
      </c>
      <c r="F284" s="16">
        <f t="shared" ref="F284" si="267">F283/F$254</f>
        <v>0.2087054330224489</v>
      </c>
      <c r="G284" s="16">
        <f t="shared" ref="G284" si="268">G283/G$254</f>
        <v>0.2087054330224489</v>
      </c>
      <c r="H284" s="16">
        <f t="shared" ref="H284" si="269">H283/H$254</f>
        <v>0.2087054330224489</v>
      </c>
      <c r="I284" s="16">
        <f t="shared" ref="I284" si="270">I283/I$254</f>
        <v>0.2087054330224489</v>
      </c>
      <c r="J284" s="16">
        <f t="shared" ref="J284" si="271">J283/J$254</f>
        <v>0.2087054330224489</v>
      </c>
      <c r="K284" s="16">
        <f t="shared" ref="K284" si="272">K283/K$254</f>
        <v>0.2087054330224489</v>
      </c>
    </row>
    <row r="285" spans="1:12" x14ac:dyDescent="0.25">
      <c r="A285" s="61" t="s">
        <v>58</v>
      </c>
      <c r="B285" s="18"/>
      <c r="C285" s="48"/>
      <c r="D285" s="48"/>
      <c r="E285" s="48"/>
      <c r="F285" s="48"/>
      <c r="G285" s="48"/>
      <c r="H285" s="48"/>
      <c r="I285" s="48"/>
      <c r="J285" s="48"/>
      <c r="K285" s="48"/>
    </row>
    <row r="286" spans="1:12" x14ac:dyDescent="0.25">
      <c r="A286" s="20" t="s">
        <v>35</v>
      </c>
      <c r="B286" s="5">
        <f t="shared" ref="B286:B296" si="273">(B272+B257)/2</f>
        <v>6453510.2016620003</v>
      </c>
      <c r="C286" s="5">
        <f t="shared" ref="C286:K286" si="274">(C272+C257)/2</f>
        <v>6453510.2016620003</v>
      </c>
      <c r="D286" s="5">
        <f t="shared" si="274"/>
        <v>6453510.2016620003</v>
      </c>
      <c r="E286" s="5">
        <f t="shared" si="274"/>
        <v>6453510.2016620003</v>
      </c>
      <c r="F286" s="5">
        <f t="shared" si="274"/>
        <v>6453510.2016620003</v>
      </c>
      <c r="G286" s="5">
        <f t="shared" si="274"/>
        <v>6453510.2016620003</v>
      </c>
      <c r="H286" s="5">
        <f t="shared" si="274"/>
        <v>6453510.2016620003</v>
      </c>
      <c r="I286" s="5">
        <f t="shared" si="274"/>
        <v>6453510.2016620003</v>
      </c>
      <c r="J286" s="5">
        <f t="shared" si="274"/>
        <v>6453510.2016620003</v>
      </c>
      <c r="K286" s="5">
        <f t="shared" si="274"/>
        <v>6453510.2016620003</v>
      </c>
    </row>
    <row r="287" spans="1:12" x14ac:dyDescent="0.25">
      <c r="A287" s="20" t="s">
        <v>36</v>
      </c>
      <c r="B287" s="5">
        <f t="shared" si="273"/>
        <v>1839368.8758000005</v>
      </c>
      <c r="C287" s="5">
        <f t="shared" ref="C287:K287" si="275">(C273+C258)/2</f>
        <v>1839368.8758000005</v>
      </c>
      <c r="D287" s="5">
        <f t="shared" si="275"/>
        <v>1839368.8758000005</v>
      </c>
      <c r="E287" s="5">
        <f t="shared" si="275"/>
        <v>1839368.8758000005</v>
      </c>
      <c r="F287" s="5">
        <f t="shared" si="275"/>
        <v>1839368.8758000005</v>
      </c>
      <c r="G287" s="5">
        <f t="shared" si="275"/>
        <v>1839368.8758000005</v>
      </c>
      <c r="H287" s="5">
        <f t="shared" si="275"/>
        <v>1839368.8758000005</v>
      </c>
      <c r="I287" s="5">
        <f t="shared" si="275"/>
        <v>1839368.8758000005</v>
      </c>
      <c r="J287" s="5">
        <f t="shared" si="275"/>
        <v>1839368.8758000005</v>
      </c>
      <c r="K287" s="5">
        <f t="shared" si="275"/>
        <v>1839368.8758000005</v>
      </c>
    </row>
    <row r="288" spans="1:12" x14ac:dyDescent="0.25">
      <c r="A288" s="20" t="s">
        <v>11</v>
      </c>
      <c r="B288" s="5">
        <f t="shared" si="273"/>
        <v>0</v>
      </c>
      <c r="C288" s="5">
        <f t="shared" ref="C288:K288" si="276">(C274+C259)/2</f>
        <v>0</v>
      </c>
      <c r="D288" s="5">
        <f t="shared" si="276"/>
        <v>0</v>
      </c>
      <c r="E288" s="5">
        <f t="shared" si="276"/>
        <v>0</v>
      </c>
      <c r="F288" s="5">
        <f t="shared" si="276"/>
        <v>0</v>
      </c>
      <c r="G288" s="5">
        <f t="shared" si="276"/>
        <v>0</v>
      </c>
      <c r="H288" s="5">
        <f t="shared" si="276"/>
        <v>0</v>
      </c>
      <c r="I288" s="5">
        <f t="shared" si="276"/>
        <v>0</v>
      </c>
      <c r="J288" s="5">
        <f t="shared" si="276"/>
        <v>0</v>
      </c>
      <c r="K288" s="5">
        <f t="shared" si="276"/>
        <v>0</v>
      </c>
    </row>
    <row r="289" spans="1:11" x14ac:dyDescent="0.25">
      <c r="A289" s="20" t="s">
        <v>124</v>
      </c>
      <c r="B289" s="5">
        <f t="shared" si="273"/>
        <v>4327042.5835000006</v>
      </c>
      <c r="C289" s="5">
        <f t="shared" ref="C289:K289" si="277">(C275+C260)/2</f>
        <v>4327042.5835000006</v>
      </c>
      <c r="D289" s="5">
        <f t="shared" si="277"/>
        <v>4327042.5835000006</v>
      </c>
      <c r="E289" s="5">
        <f t="shared" si="277"/>
        <v>4327042.5835000006</v>
      </c>
      <c r="F289" s="5">
        <f t="shared" si="277"/>
        <v>4327042.5835000006</v>
      </c>
      <c r="G289" s="5">
        <f t="shared" si="277"/>
        <v>4327042.5835000006</v>
      </c>
      <c r="H289" s="5">
        <f t="shared" si="277"/>
        <v>4327042.5835000006</v>
      </c>
      <c r="I289" s="5">
        <f t="shared" si="277"/>
        <v>4327042.5835000006</v>
      </c>
      <c r="J289" s="5">
        <f t="shared" si="277"/>
        <v>4327042.5835000006</v>
      </c>
      <c r="K289" s="5">
        <f t="shared" si="277"/>
        <v>4327042.5835000006</v>
      </c>
    </row>
    <row r="290" spans="1:11" x14ac:dyDescent="0.25">
      <c r="A290" s="20" t="s">
        <v>12</v>
      </c>
      <c r="B290" s="5">
        <f t="shared" si="273"/>
        <v>2316993.829423334</v>
      </c>
      <c r="C290" s="5">
        <f t="shared" ref="C290:K290" si="278">(C276+C261)/2</f>
        <v>2316993.829423334</v>
      </c>
      <c r="D290" s="5">
        <f t="shared" si="278"/>
        <v>2316993.829423334</v>
      </c>
      <c r="E290" s="5">
        <f t="shared" si="278"/>
        <v>2316993.829423334</v>
      </c>
      <c r="F290" s="5">
        <f t="shared" si="278"/>
        <v>2316993.829423334</v>
      </c>
      <c r="G290" s="5">
        <f t="shared" si="278"/>
        <v>2316993.829423334</v>
      </c>
      <c r="H290" s="5">
        <f t="shared" si="278"/>
        <v>2316993.829423334</v>
      </c>
      <c r="I290" s="5">
        <f t="shared" si="278"/>
        <v>2316993.829423334</v>
      </c>
      <c r="J290" s="5">
        <f t="shared" si="278"/>
        <v>2316993.829423334</v>
      </c>
      <c r="K290" s="5">
        <f t="shared" si="278"/>
        <v>2316993.829423334</v>
      </c>
    </row>
    <row r="291" spans="1:11" x14ac:dyDescent="0.25">
      <c r="A291" s="20" t="s">
        <v>13</v>
      </c>
      <c r="B291" s="5">
        <f t="shared" si="273"/>
        <v>0</v>
      </c>
      <c r="C291" s="5">
        <f t="shared" ref="C291:K291" si="279">(C277+C262)/2</f>
        <v>0</v>
      </c>
      <c r="D291" s="5">
        <f t="shared" si="279"/>
        <v>0</v>
      </c>
      <c r="E291" s="5">
        <f t="shared" si="279"/>
        <v>0</v>
      </c>
      <c r="F291" s="5">
        <f t="shared" si="279"/>
        <v>0</v>
      </c>
      <c r="G291" s="5">
        <f t="shared" si="279"/>
        <v>0</v>
      </c>
      <c r="H291" s="5">
        <f t="shared" si="279"/>
        <v>0</v>
      </c>
      <c r="I291" s="5">
        <f t="shared" si="279"/>
        <v>0</v>
      </c>
      <c r="J291" s="5">
        <f t="shared" si="279"/>
        <v>0</v>
      </c>
      <c r="K291" s="5">
        <f t="shared" si="279"/>
        <v>0</v>
      </c>
    </row>
    <row r="292" spans="1:11" x14ac:dyDescent="0.25">
      <c r="A292" s="20" t="s">
        <v>14</v>
      </c>
      <c r="B292" s="5">
        <f t="shared" si="273"/>
        <v>0</v>
      </c>
      <c r="C292" s="5">
        <f t="shared" ref="C292:K292" si="280">(C278+C263)/2</f>
        <v>0</v>
      </c>
      <c r="D292" s="5">
        <f t="shared" si="280"/>
        <v>0</v>
      </c>
      <c r="E292" s="5">
        <f t="shared" si="280"/>
        <v>0</v>
      </c>
      <c r="F292" s="5">
        <f t="shared" si="280"/>
        <v>0</v>
      </c>
      <c r="G292" s="5">
        <f t="shared" si="280"/>
        <v>0</v>
      </c>
      <c r="H292" s="5">
        <f t="shared" si="280"/>
        <v>0</v>
      </c>
      <c r="I292" s="5">
        <f t="shared" si="280"/>
        <v>0</v>
      </c>
      <c r="J292" s="5">
        <f t="shared" si="280"/>
        <v>0</v>
      </c>
      <c r="K292" s="5">
        <f t="shared" si="280"/>
        <v>0</v>
      </c>
    </row>
    <row r="293" spans="1:11" x14ac:dyDescent="0.25">
      <c r="A293" s="20" t="s">
        <v>125</v>
      </c>
      <c r="B293" s="5">
        <f t="shared" si="273"/>
        <v>0</v>
      </c>
      <c r="C293" s="5">
        <f t="shared" ref="C293:K293" si="281">(C279+C264)/2</f>
        <v>0</v>
      </c>
      <c r="D293" s="5">
        <f t="shared" si="281"/>
        <v>0</v>
      </c>
      <c r="E293" s="5">
        <f t="shared" si="281"/>
        <v>0</v>
      </c>
      <c r="F293" s="5">
        <f t="shared" si="281"/>
        <v>0</v>
      </c>
      <c r="G293" s="5">
        <f t="shared" si="281"/>
        <v>0</v>
      </c>
      <c r="H293" s="5">
        <f t="shared" si="281"/>
        <v>0</v>
      </c>
      <c r="I293" s="5">
        <f t="shared" si="281"/>
        <v>0</v>
      </c>
      <c r="J293" s="5">
        <f t="shared" si="281"/>
        <v>0</v>
      </c>
      <c r="K293" s="5">
        <f t="shared" si="281"/>
        <v>0</v>
      </c>
    </row>
    <row r="294" spans="1:11" x14ac:dyDescent="0.25">
      <c r="A294" s="20" t="s">
        <v>37</v>
      </c>
      <c r="B294" s="5">
        <f t="shared" si="273"/>
        <v>20015932.392431997</v>
      </c>
      <c r="C294" s="5">
        <f t="shared" ref="C294:K294" si="282">(C280+C265)/2</f>
        <v>20015932.392431997</v>
      </c>
      <c r="D294" s="5">
        <f t="shared" si="282"/>
        <v>20015932.392431997</v>
      </c>
      <c r="E294" s="5">
        <f t="shared" si="282"/>
        <v>20015932.392431997</v>
      </c>
      <c r="F294" s="5">
        <f t="shared" si="282"/>
        <v>20015932.392431997</v>
      </c>
      <c r="G294" s="5">
        <f t="shared" si="282"/>
        <v>20015932.392431997</v>
      </c>
      <c r="H294" s="5">
        <f t="shared" si="282"/>
        <v>20015932.392431997</v>
      </c>
      <c r="I294" s="5">
        <f t="shared" si="282"/>
        <v>20015932.392431997</v>
      </c>
      <c r="J294" s="5">
        <f t="shared" si="282"/>
        <v>20015932.392431997</v>
      </c>
      <c r="K294" s="5">
        <f t="shared" si="282"/>
        <v>20015932.392431997</v>
      </c>
    </row>
    <row r="295" spans="1:11" x14ac:dyDescent="0.25">
      <c r="A295" s="20" t="s">
        <v>38</v>
      </c>
      <c r="B295" s="5">
        <f t="shared" si="273"/>
        <v>744239.4670000003</v>
      </c>
      <c r="C295" s="5">
        <f t="shared" ref="C295:K295" si="283">(C281+C266)/2</f>
        <v>744239.4670000003</v>
      </c>
      <c r="D295" s="5">
        <f t="shared" si="283"/>
        <v>744239.4670000003</v>
      </c>
      <c r="E295" s="5">
        <f t="shared" si="283"/>
        <v>744239.4670000003</v>
      </c>
      <c r="F295" s="5">
        <f t="shared" si="283"/>
        <v>744239.4670000003</v>
      </c>
      <c r="G295" s="5">
        <f t="shared" si="283"/>
        <v>744239.4670000003</v>
      </c>
      <c r="H295" s="5">
        <f t="shared" si="283"/>
        <v>744239.4670000003</v>
      </c>
      <c r="I295" s="5">
        <f t="shared" si="283"/>
        <v>744239.4670000003</v>
      </c>
      <c r="J295" s="5">
        <f t="shared" si="283"/>
        <v>744239.4670000003</v>
      </c>
      <c r="K295" s="5">
        <f t="shared" si="283"/>
        <v>744239.4670000003</v>
      </c>
    </row>
    <row r="296" spans="1:11" x14ac:dyDescent="0.25">
      <c r="A296" s="20" t="s">
        <v>15</v>
      </c>
      <c r="B296" s="13">
        <f t="shared" si="273"/>
        <v>16490864.411249999</v>
      </c>
      <c r="C296" s="13">
        <f t="shared" ref="C296:K296" si="284">(C282+C267)/2</f>
        <v>16490864.411249999</v>
      </c>
      <c r="D296" s="13">
        <f t="shared" si="284"/>
        <v>16490864.411249999</v>
      </c>
      <c r="E296" s="13">
        <f t="shared" si="284"/>
        <v>16490864.411249999</v>
      </c>
      <c r="F296" s="13">
        <f t="shared" si="284"/>
        <v>16490864.411249999</v>
      </c>
      <c r="G296" s="13">
        <f t="shared" si="284"/>
        <v>16490864.411249999</v>
      </c>
      <c r="H296" s="13">
        <f t="shared" si="284"/>
        <v>16490864.411249999</v>
      </c>
      <c r="I296" s="13">
        <f t="shared" si="284"/>
        <v>16490864.411249999</v>
      </c>
      <c r="J296" s="13">
        <f t="shared" si="284"/>
        <v>16490864.411249999</v>
      </c>
      <c r="K296" s="13">
        <f t="shared" si="284"/>
        <v>16490864.411249999</v>
      </c>
    </row>
    <row r="297" spans="1:11" x14ac:dyDescent="0.25">
      <c r="A297" s="5"/>
      <c r="B297" s="5">
        <f t="shared" ref="B297:K297" si="285">SUM(B286:B296)</f>
        <v>52187951.761067331</v>
      </c>
      <c r="C297" s="5">
        <f t="shared" si="285"/>
        <v>52187951.761067331</v>
      </c>
      <c r="D297" s="5">
        <f t="shared" si="285"/>
        <v>52187951.761067331</v>
      </c>
      <c r="E297" s="5">
        <f t="shared" si="285"/>
        <v>52187951.761067331</v>
      </c>
      <c r="F297" s="5">
        <f t="shared" si="285"/>
        <v>52187951.761067331</v>
      </c>
      <c r="G297" s="5">
        <f t="shared" si="285"/>
        <v>52187951.761067331</v>
      </c>
      <c r="H297" s="5">
        <f t="shared" si="285"/>
        <v>52187951.761067331</v>
      </c>
      <c r="I297" s="5">
        <f t="shared" si="285"/>
        <v>52187951.761067331</v>
      </c>
      <c r="J297" s="5">
        <f t="shared" si="285"/>
        <v>52187951.761067331</v>
      </c>
      <c r="K297" s="5">
        <f t="shared" si="285"/>
        <v>52187951.761067331</v>
      </c>
    </row>
    <row r="298" spans="1:11" x14ac:dyDescent="0.25">
      <c r="B298" s="16">
        <f>B297/B$254</f>
        <v>0.29160075809608133</v>
      </c>
      <c r="C298" s="16">
        <f t="shared" ref="C298" si="286">C297/C$254</f>
        <v>0.29160075809608133</v>
      </c>
      <c r="D298" s="16">
        <f t="shared" ref="D298" si="287">D297/D$254</f>
        <v>0.29160075809608133</v>
      </c>
      <c r="E298" s="16">
        <f t="shared" ref="E298" si="288">E297/E$254</f>
        <v>0.29160075809608133</v>
      </c>
      <c r="F298" s="16">
        <f t="shared" ref="F298" si="289">F297/F$254</f>
        <v>0.29160075809608133</v>
      </c>
      <c r="G298" s="16">
        <f t="shared" ref="G298" si="290">G297/G$254</f>
        <v>0.29160075809608133</v>
      </c>
      <c r="H298" s="16">
        <f t="shared" ref="H298" si="291">H297/H$254</f>
        <v>0.29160075809608133</v>
      </c>
      <c r="I298" s="16">
        <f t="shared" ref="I298" si="292">I297/I$254</f>
        <v>0.29160075809608133</v>
      </c>
      <c r="J298" s="16">
        <f t="shared" ref="J298" si="293">J297/J$254</f>
        <v>0.29160075809608133</v>
      </c>
      <c r="K298" s="16">
        <f t="shared" ref="K298" si="294">K297/K$254</f>
        <v>0.29160075809608133</v>
      </c>
    </row>
    <row r="299" spans="1:11" s="3" customFormat="1" x14ac:dyDescent="0.25">
      <c r="A299" s="2" t="s">
        <v>32</v>
      </c>
    </row>
    <row r="300" spans="1:11" x14ac:dyDescent="0.25">
      <c r="B300" s="12" t="str">
        <f>'Summary dashboard'!C4</f>
        <v>2023</v>
      </c>
      <c r="C300" s="12">
        <f>B300+1</f>
        <v>2024</v>
      </c>
      <c r="D300" s="12">
        <f t="shared" ref="D300" si="295">C300+1</f>
        <v>2025</v>
      </c>
      <c r="E300" s="12">
        <f t="shared" ref="E300" si="296">D300+1</f>
        <v>2026</v>
      </c>
      <c r="F300" s="12">
        <f t="shared" ref="F300" si="297">E300+1</f>
        <v>2027</v>
      </c>
      <c r="G300" s="12">
        <f t="shared" ref="G300" si="298">F300+1</f>
        <v>2028</v>
      </c>
      <c r="H300" s="12">
        <f t="shared" ref="H300" si="299">G300+1</f>
        <v>2029</v>
      </c>
      <c r="I300" s="12">
        <f t="shared" ref="I300" si="300">H300+1</f>
        <v>2030</v>
      </c>
      <c r="J300" s="12">
        <f t="shared" ref="J300" si="301">I300+1</f>
        <v>2031</v>
      </c>
      <c r="K300" s="12">
        <f>J300+1</f>
        <v>2032</v>
      </c>
    </row>
    <row r="301" spans="1:11" x14ac:dyDescent="0.25">
      <c r="A301" s="4" t="s">
        <v>35</v>
      </c>
      <c r="B301" s="16">
        <f>'Mzimvubu-Tsitsikamma CMA'!B31</f>
        <v>1</v>
      </c>
      <c r="C301" s="16">
        <f>'Mzimvubu-Tsitsikamma CMA'!C31</f>
        <v>1</v>
      </c>
      <c r="D301" s="16">
        <f>'Mzimvubu-Tsitsikamma CMA'!D31</f>
        <v>1</v>
      </c>
      <c r="E301" s="16">
        <f>'Mzimvubu-Tsitsikamma CMA'!E31</f>
        <v>1</v>
      </c>
      <c r="F301" s="16">
        <f>'Mzimvubu-Tsitsikamma CMA'!F31</f>
        <v>1</v>
      </c>
      <c r="G301" s="16">
        <f>'Mzimvubu-Tsitsikamma CMA'!G31</f>
        <v>1</v>
      </c>
      <c r="H301" s="16">
        <f>'Mzimvubu-Tsitsikamma CMA'!H31</f>
        <v>1</v>
      </c>
      <c r="I301" s="16">
        <f>'Mzimvubu-Tsitsikamma CMA'!I31</f>
        <v>1</v>
      </c>
      <c r="J301" s="16">
        <f>'Mzimvubu-Tsitsikamma CMA'!J31</f>
        <v>1</v>
      </c>
      <c r="K301" s="16">
        <f>'Mzimvubu-Tsitsikamma CMA'!K31</f>
        <v>1</v>
      </c>
    </row>
    <row r="302" spans="1:11" x14ac:dyDescent="0.25">
      <c r="A302" s="4" t="s">
        <v>36</v>
      </c>
      <c r="B302" s="16">
        <f>'Mzimvubu-Tsitsikamma CMA'!B32</f>
        <v>1</v>
      </c>
      <c r="C302" s="16">
        <f>'Mzimvubu-Tsitsikamma CMA'!C32</f>
        <v>1</v>
      </c>
      <c r="D302" s="16">
        <f>'Mzimvubu-Tsitsikamma CMA'!D32</f>
        <v>1</v>
      </c>
      <c r="E302" s="16">
        <f>'Mzimvubu-Tsitsikamma CMA'!E32</f>
        <v>1</v>
      </c>
      <c r="F302" s="16">
        <f>'Mzimvubu-Tsitsikamma CMA'!F32</f>
        <v>1</v>
      </c>
      <c r="G302" s="16">
        <f>'Mzimvubu-Tsitsikamma CMA'!G32</f>
        <v>1</v>
      </c>
      <c r="H302" s="16">
        <f>'Mzimvubu-Tsitsikamma CMA'!H32</f>
        <v>1</v>
      </c>
      <c r="I302" s="16">
        <f>'Mzimvubu-Tsitsikamma CMA'!I32</f>
        <v>1</v>
      </c>
      <c r="J302" s="16">
        <f>'Mzimvubu-Tsitsikamma CMA'!J32</f>
        <v>1</v>
      </c>
      <c r="K302" s="16">
        <f>'Mzimvubu-Tsitsikamma CMA'!K32</f>
        <v>1</v>
      </c>
    </row>
    <row r="303" spans="1:11" x14ac:dyDescent="0.25">
      <c r="A303" s="4" t="s">
        <v>11</v>
      </c>
      <c r="B303" s="16">
        <f>'Mzimvubu-Tsitsikamma CMA'!B33</f>
        <v>1</v>
      </c>
      <c r="C303" s="16">
        <f>'Mzimvubu-Tsitsikamma CMA'!C33</f>
        <v>1</v>
      </c>
      <c r="D303" s="16">
        <f>'Mzimvubu-Tsitsikamma CMA'!D33</f>
        <v>1</v>
      </c>
      <c r="E303" s="16">
        <f>'Mzimvubu-Tsitsikamma CMA'!E33</f>
        <v>1</v>
      </c>
      <c r="F303" s="16">
        <f>'Mzimvubu-Tsitsikamma CMA'!F33</f>
        <v>1</v>
      </c>
      <c r="G303" s="16">
        <f>'Mzimvubu-Tsitsikamma CMA'!G33</f>
        <v>1</v>
      </c>
      <c r="H303" s="16">
        <f>'Mzimvubu-Tsitsikamma CMA'!H33</f>
        <v>1</v>
      </c>
      <c r="I303" s="16">
        <f>'Mzimvubu-Tsitsikamma CMA'!I33</f>
        <v>1</v>
      </c>
      <c r="J303" s="16">
        <f>'Mzimvubu-Tsitsikamma CMA'!J33</f>
        <v>1</v>
      </c>
      <c r="K303" s="16">
        <f>'Mzimvubu-Tsitsikamma CMA'!K33</f>
        <v>1</v>
      </c>
    </row>
    <row r="304" spans="1:11" x14ac:dyDescent="0.25">
      <c r="A304" s="4" t="s">
        <v>124</v>
      </c>
      <c r="B304" s="16">
        <f>'Mzimvubu-Tsitsikamma CMA'!B34</f>
        <v>1</v>
      </c>
      <c r="C304" s="16">
        <f>'Mzimvubu-Tsitsikamma CMA'!C34</f>
        <v>1</v>
      </c>
      <c r="D304" s="16">
        <f>'Mzimvubu-Tsitsikamma CMA'!D34</f>
        <v>1</v>
      </c>
      <c r="E304" s="16">
        <f>'Mzimvubu-Tsitsikamma CMA'!E34</f>
        <v>1</v>
      </c>
      <c r="F304" s="16">
        <f>'Mzimvubu-Tsitsikamma CMA'!F34</f>
        <v>1</v>
      </c>
      <c r="G304" s="16">
        <f>'Mzimvubu-Tsitsikamma CMA'!G34</f>
        <v>1</v>
      </c>
      <c r="H304" s="16">
        <f>'Mzimvubu-Tsitsikamma CMA'!H34</f>
        <v>1</v>
      </c>
      <c r="I304" s="16">
        <f>'Mzimvubu-Tsitsikamma CMA'!I34</f>
        <v>1</v>
      </c>
      <c r="J304" s="16">
        <f>'Mzimvubu-Tsitsikamma CMA'!J34</f>
        <v>1</v>
      </c>
      <c r="K304" s="16">
        <f>'Mzimvubu-Tsitsikamma CMA'!K34</f>
        <v>1</v>
      </c>
    </row>
    <row r="305" spans="1:12" x14ac:dyDescent="0.25">
      <c r="A305" s="4" t="s">
        <v>12</v>
      </c>
      <c r="B305" s="16">
        <f>'Mzimvubu-Tsitsikamma CMA'!B35</f>
        <v>1</v>
      </c>
      <c r="C305" s="16">
        <f>'Mzimvubu-Tsitsikamma CMA'!C35</f>
        <v>1</v>
      </c>
      <c r="D305" s="16">
        <f>'Mzimvubu-Tsitsikamma CMA'!D35</f>
        <v>1</v>
      </c>
      <c r="E305" s="16">
        <f>'Mzimvubu-Tsitsikamma CMA'!E35</f>
        <v>1</v>
      </c>
      <c r="F305" s="16">
        <f>'Mzimvubu-Tsitsikamma CMA'!F35</f>
        <v>1</v>
      </c>
      <c r="G305" s="16">
        <f>'Mzimvubu-Tsitsikamma CMA'!G35</f>
        <v>1</v>
      </c>
      <c r="H305" s="16">
        <f>'Mzimvubu-Tsitsikamma CMA'!H35</f>
        <v>1</v>
      </c>
      <c r="I305" s="16">
        <f>'Mzimvubu-Tsitsikamma CMA'!I35</f>
        <v>1</v>
      </c>
      <c r="J305" s="16">
        <f>'Mzimvubu-Tsitsikamma CMA'!J35</f>
        <v>1</v>
      </c>
      <c r="K305" s="16">
        <f>'Mzimvubu-Tsitsikamma CMA'!K35</f>
        <v>1</v>
      </c>
    </row>
    <row r="306" spans="1:12" x14ac:dyDescent="0.25">
      <c r="A306" s="4" t="s">
        <v>13</v>
      </c>
      <c r="B306" s="16">
        <f>'Mzimvubu-Tsitsikamma CMA'!B36</f>
        <v>1</v>
      </c>
      <c r="C306" s="16">
        <f>'Mzimvubu-Tsitsikamma CMA'!C36</f>
        <v>1</v>
      </c>
      <c r="D306" s="16">
        <f>'Mzimvubu-Tsitsikamma CMA'!D36</f>
        <v>1</v>
      </c>
      <c r="E306" s="16">
        <f>'Mzimvubu-Tsitsikamma CMA'!E36</f>
        <v>1</v>
      </c>
      <c r="F306" s="16">
        <f>'Mzimvubu-Tsitsikamma CMA'!F36</f>
        <v>1</v>
      </c>
      <c r="G306" s="16">
        <f>'Mzimvubu-Tsitsikamma CMA'!G36</f>
        <v>1</v>
      </c>
      <c r="H306" s="16">
        <f>'Mzimvubu-Tsitsikamma CMA'!H36</f>
        <v>1</v>
      </c>
      <c r="I306" s="16">
        <f>'Mzimvubu-Tsitsikamma CMA'!I36</f>
        <v>1</v>
      </c>
      <c r="J306" s="16">
        <f>'Mzimvubu-Tsitsikamma CMA'!J36</f>
        <v>1</v>
      </c>
      <c r="K306" s="16">
        <f>'Mzimvubu-Tsitsikamma CMA'!K36</f>
        <v>1</v>
      </c>
    </row>
    <row r="307" spans="1:12" x14ac:dyDescent="0.25">
      <c r="A307" s="4" t="s">
        <v>14</v>
      </c>
      <c r="B307" s="16">
        <f>'Mzimvubu-Tsitsikamma CMA'!B37</f>
        <v>1</v>
      </c>
      <c r="C307" s="16">
        <f>'Mzimvubu-Tsitsikamma CMA'!C37</f>
        <v>1</v>
      </c>
      <c r="D307" s="16">
        <f>'Mzimvubu-Tsitsikamma CMA'!D37</f>
        <v>1</v>
      </c>
      <c r="E307" s="16">
        <f>'Mzimvubu-Tsitsikamma CMA'!E37</f>
        <v>1</v>
      </c>
      <c r="F307" s="16">
        <f>'Mzimvubu-Tsitsikamma CMA'!F37</f>
        <v>1</v>
      </c>
      <c r="G307" s="16">
        <f>'Mzimvubu-Tsitsikamma CMA'!G37</f>
        <v>1</v>
      </c>
      <c r="H307" s="16">
        <f>'Mzimvubu-Tsitsikamma CMA'!H37</f>
        <v>1</v>
      </c>
      <c r="I307" s="16">
        <f>'Mzimvubu-Tsitsikamma CMA'!I37</f>
        <v>1</v>
      </c>
      <c r="J307" s="16">
        <f>'Mzimvubu-Tsitsikamma CMA'!J37</f>
        <v>1</v>
      </c>
      <c r="K307" s="16">
        <f>'Mzimvubu-Tsitsikamma CMA'!K37</f>
        <v>1</v>
      </c>
    </row>
    <row r="308" spans="1:12" x14ac:dyDescent="0.25">
      <c r="A308" s="4" t="s">
        <v>125</v>
      </c>
      <c r="B308" s="16">
        <f>'Mzimvubu-Tsitsikamma CMA'!B38</f>
        <v>1</v>
      </c>
      <c r="C308" s="16">
        <f>'Mzimvubu-Tsitsikamma CMA'!C38</f>
        <v>1</v>
      </c>
      <c r="D308" s="16">
        <f>'Mzimvubu-Tsitsikamma CMA'!D38</f>
        <v>1</v>
      </c>
      <c r="E308" s="16">
        <f>'Mzimvubu-Tsitsikamma CMA'!E38</f>
        <v>1</v>
      </c>
      <c r="F308" s="16">
        <f>'Mzimvubu-Tsitsikamma CMA'!F38</f>
        <v>1</v>
      </c>
      <c r="G308" s="16">
        <f>'Mzimvubu-Tsitsikamma CMA'!G38</f>
        <v>1</v>
      </c>
      <c r="H308" s="16">
        <f>'Mzimvubu-Tsitsikamma CMA'!H38</f>
        <v>1</v>
      </c>
      <c r="I308" s="16">
        <f>'Mzimvubu-Tsitsikamma CMA'!I38</f>
        <v>1</v>
      </c>
      <c r="J308" s="16">
        <f>'Mzimvubu-Tsitsikamma CMA'!J38</f>
        <v>1</v>
      </c>
      <c r="K308" s="16">
        <f>'Mzimvubu-Tsitsikamma CMA'!K38</f>
        <v>1</v>
      </c>
    </row>
    <row r="309" spans="1:12" x14ac:dyDescent="0.25">
      <c r="A309" s="4" t="s">
        <v>37</v>
      </c>
      <c r="B309" s="16">
        <f>'Mzimvubu-Tsitsikamma CMA'!B39</f>
        <v>1</v>
      </c>
      <c r="C309" s="16">
        <f>'Mzimvubu-Tsitsikamma CMA'!C39</f>
        <v>1</v>
      </c>
      <c r="D309" s="16">
        <f>'Mzimvubu-Tsitsikamma CMA'!D39</f>
        <v>1</v>
      </c>
      <c r="E309" s="16">
        <f>'Mzimvubu-Tsitsikamma CMA'!E39</f>
        <v>1</v>
      </c>
      <c r="F309" s="16">
        <f>'Mzimvubu-Tsitsikamma CMA'!F39</f>
        <v>1</v>
      </c>
      <c r="G309" s="16">
        <f>'Mzimvubu-Tsitsikamma CMA'!G39</f>
        <v>1</v>
      </c>
      <c r="H309" s="16">
        <f>'Mzimvubu-Tsitsikamma CMA'!H39</f>
        <v>1</v>
      </c>
      <c r="I309" s="16">
        <f>'Mzimvubu-Tsitsikamma CMA'!I39</f>
        <v>1</v>
      </c>
      <c r="J309" s="16">
        <f>'Mzimvubu-Tsitsikamma CMA'!J39</f>
        <v>1</v>
      </c>
      <c r="K309" s="16">
        <f>'Mzimvubu-Tsitsikamma CMA'!K39</f>
        <v>1</v>
      </c>
    </row>
    <row r="310" spans="1:12" x14ac:dyDescent="0.25">
      <c r="A310" s="4" t="s">
        <v>38</v>
      </c>
      <c r="B310" s="16">
        <f>'Mzimvubu-Tsitsikamma CMA'!B40</f>
        <v>1</v>
      </c>
      <c r="C310" s="16">
        <f>'Mzimvubu-Tsitsikamma CMA'!C40</f>
        <v>1</v>
      </c>
      <c r="D310" s="16">
        <f>'Mzimvubu-Tsitsikamma CMA'!D40</f>
        <v>1</v>
      </c>
      <c r="E310" s="16">
        <f>'Mzimvubu-Tsitsikamma CMA'!E40</f>
        <v>1</v>
      </c>
      <c r="F310" s="16">
        <f>'Mzimvubu-Tsitsikamma CMA'!F40</f>
        <v>1</v>
      </c>
      <c r="G310" s="16">
        <f>'Mzimvubu-Tsitsikamma CMA'!G40</f>
        <v>1</v>
      </c>
      <c r="H310" s="16">
        <f>'Mzimvubu-Tsitsikamma CMA'!H40</f>
        <v>1</v>
      </c>
      <c r="I310" s="16">
        <f>'Mzimvubu-Tsitsikamma CMA'!I40</f>
        <v>1</v>
      </c>
      <c r="J310" s="16">
        <f>'Mzimvubu-Tsitsikamma CMA'!J40</f>
        <v>1</v>
      </c>
      <c r="K310" s="16">
        <f>'Mzimvubu-Tsitsikamma CMA'!K40</f>
        <v>1</v>
      </c>
    </row>
    <row r="311" spans="1:12" x14ac:dyDescent="0.25">
      <c r="A311" s="4" t="s">
        <v>15</v>
      </c>
      <c r="B311" s="16">
        <f>'Mzimvubu-Tsitsikamma CMA'!B41</f>
        <v>1</v>
      </c>
      <c r="C311" s="16">
        <f>'Mzimvubu-Tsitsikamma CMA'!C41</f>
        <v>1</v>
      </c>
      <c r="D311" s="16">
        <f>'Mzimvubu-Tsitsikamma CMA'!D41</f>
        <v>1</v>
      </c>
      <c r="E311" s="16">
        <f>'Mzimvubu-Tsitsikamma CMA'!E41</f>
        <v>1</v>
      </c>
      <c r="F311" s="16">
        <f>'Mzimvubu-Tsitsikamma CMA'!F41</f>
        <v>1</v>
      </c>
      <c r="G311" s="16">
        <f>'Mzimvubu-Tsitsikamma CMA'!G41</f>
        <v>1</v>
      </c>
      <c r="H311" s="16">
        <f>'Mzimvubu-Tsitsikamma CMA'!H41</f>
        <v>1</v>
      </c>
      <c r="I311" s="16">
        <f>'Mzimvubu-Tsitsikamma CMA'!I41</f>
        <v>1</v>
      </c>
      <c r="J311" s="16">
        <f>'Mzimvubu-Tsitsikamma CMA'!J41</f>
        <v>1</v>
      </c>
      <c r="K311" s="16">
        <f>'Mzimvubu-Tsitsikamma CMA'!K41</f>
        <v>1</v>
      </c>
    </row>
    <row r="312" spans="1:12" x14ac:dyDescent="0.25">
      <c r="C312" s="6"/>
      <c r="D312" s="6"/>
      <c r="E312" s="6"/>
      <c r="F312" s="6"/>
      <c r="G312" s="6"/>
      <c r="H312" s="6"/>
      <c r="I312" s="6"/>
      <c r="J312" s="6"/>
      <c r="K312" s="6"/>
    </row>
    <row r="313" spans="1:12" x14ac:dyDescent="0.25">
      <c r="A313" s="1" t="s">
        <v>60</v>
      </c>
      <c r="B313" s="12" t="str">
        <f>'Summary dashboard'!C4</f>
        <v>2023</v>
      </c>
      <c r="C313" s="12">
        <f t="shared" ref="C313" si="302">B313+1</f>
        <v>2024</v>
      </c>
      <c r="D313" s="12">
        <f t="shared" ref="D313" si="303">C313+1</f>
        <v>2025</v>
      </c>
      <c r="E313" s="12">
        <f t="shared" ref="E313" si="304">D313+1</f>
        <v>2026</v>
      </c>
      <c r="F313" s="12">
        <f t="shared" ref="F313" si="305">E313+1</f>
        <v>2027</v>
      </c>
      <c r="G313" s="12">
        <f t="shared" ref="G313" si="306">F313+1</f>
        <v>2028</v>
      </c>
      <c r="H313" s="12">
        <f t="shared" ref="H313" si="307">G313+1</f>
        <v>2029</v>
      </c>
      <c r="I313" s="12">
        <f t="shared" ref="I313" si="308">H313+1</f>
        <v>2030</v>
      </c>
      <c r="J313" s="12">
        <f t="shared" ref="J313" si="309">I313+1</f>
        <v>2031</v>
      </c>
      <c r="K313" s="12">
        <f t="shared" ref="K313" si="310">J313+1</f>
        <v>2032</v>
      </c>
      <c r="L313" s="1" t="s">
        <v>28</v>
      </c>
    </row>
    <row r="314" spans="1:12" x14ac:dyDescent="0.25">
      <c r="A314" s="4" t="s">
        <v>35</v>
      </c>
      <c r="B314" s="32">
        <f>$F3*B301</f>
        <v>10898772.345000001</v>
      </c>
      <c r="C314" s="32">
        <f t="shared" ref="C314:K314" si="311">$F3*C301</f>
        <v>10898772.345000001</v>
      </c>
      <c r="D314" s="32">
        <f t="shared" si="311"/>
        <v>10898772.345000001</v>
      </c>
      <c r="E314" s="32">
        <f t="shared" si="311"/>
        <v>10898772.345000001</v>
      </c>
      <c r="F314" s="32">
        <f t="shared" si="311"/>
        <v>10898772.345000001</v>
      </c>
      <c r="G314" s="32">
        <f t="shared" si="311"/>
        <v>10898772.345000001</v>
      </c>
      <c r="H314" s="32">
        <f t="shared" si="311"/>
        <v>10898772.345000001</v>
      </c>
      <c r="I314" s="32">
        <f t="shared" si="311"/>
        <v>10898772.345000001</v>
      </c>
      <c r="J314" s="32">
        <f t="shared" si="311"/>
        <v>10898772.345000001</v>
      </c>
      <c r="K314" s="32">
        <f t="shared" si="311"/>
        <v>10898772.345000001</v>
      </c>
      <c r="L314" s="5">
        <f t="shared" ref="L314:L325" si="312">AVERAGE(B314:K314)</f>
        <v>10898772.345000001</v>
      </c>
    </row>
    <row r="315" spans="1:12" x14ac:dyDescent="0.25">
      <c r="A315" s="4" t="s">
        <v>36</v>
      </c>
      <c r="B315" s="32">
        <f t="shared" ref="B315:K315" si="313">$F4*B302</f>
        <v>6599505.0250000004</v>
      </c>
      <c r="C315" s="32">
        <f t="shared" si="313"/>
        <v>6599505.0250000004</v>
      </c>
      <c r="D315" s="32">
        <f t="shared" si="313"/>
        <v>6599505.0250000004</v>
      </c>
      <c r="E315" s="32">
        <f t="shared" si="313"/>
        <v>6599505.0250000004</v>
      </c>
      <c r="F315" s="32">
        <f t="shared" si="313"/>
        <v>6599505.0250000004</v>
      </c>
      <c r="G315" s="32">
        <f t="shared" si="313"/>
        <v>6599505.0250000004</v>
      </c>
      <c r="H315" s="32">
        <f t="shared" si="313"/>
        <v>6599505.0250000004</v>
      </c>
      <c r="I315" s="32">
        <f t="shared" si="313"/>
        <v>6599505.0250000004</v>
      </c>
      <c r="J315" s="32">
        <f t="shared" si="313"/>
        <v>6599505.0250000004</v>
      </c>
      <c r="K315" s="32">
        <f t="shared" si="313"/>
        <v>6599505.0250000004</v>
      </c>
      <c r="L315" s="5">
        <f t="shared" si="312"/>
        <v>6599505.0249999994</v>
      </c>
    </row>
    <row r="316" spans="1:12" x14ac:dyDescent="0.25">
      <c r="A316" s="4" t="s">
        <v>11</v>
      </c>
      <c r="B316" s="32">
        <f t="shared" ref="B316:K316" si="314">$F5*B303</f>
        <v>0</v>
      </c>
      <c r="C316" s="32">
        <f t="shared" si="314"/>
        <v>0</v>
      </c>
      <c r="D316" s="32">
        <f t="shared" si="314"/>
        <v>0</v>
      </c>
      <c r="E316" s="32">
        <f t="shared" si="314"/>
        <v>0</v>
      </c>
      <c r="F316" s="32">
        <f t="shared" si="314"/>
        <v>0</v>
      </c>
      <c r="G316" s="32">
        <f t="shared" si="314"/>
        <v>0</v>
      </c>
      <c r="H316" s="32">
        <f t="shared" si="314"/>
        <v>0</v>
      </c>
      <c r="I316" s="32">
        <f t="shared" si="314"/>
        <v>0</v>
      </c>
      <c r="J316" s="32">
        <f t="shared" si="314"/>
        <v>0</v>
      </c>
      <c r="K316" s="32">
        <f t="shared" si="314"/>
        <v>0</v>
      </c>
      <c r="L316" s="5">
        <f t="shared" si="312"/>
        <v>0</v>
      </c>
    </row>
    <row r="317" spans="1:12" x14ac:dyDescent="0.25">
      <c r="A317" s="4" t="s">
        <v>124</v>
      </c>
      <c r="B317" s="32">
        <f t="shared" ref="B317:K317" si="315">$F6*B304</f>
        <v>500000</v>
      </c>
      <c r="C317" s="32">
        <f t="shared" si="315"/>
        <v>500000</v>
      </c>
      <c r="D317" s="32">
        <f t="shared" si="315"/>
        <v>500000</v>
      </c>
      <c r="E317" s="32">
        <f t="shared" si="315"/>
        <v>500000</v>
      </c>
      <c r="F317" s="32">
        <f t="shared" si="315"/>
        <v>500000</v>
      </c>
      <c r="G317" s="32">
        <f t="shared" si="315"/>
        <v>500000</v>
      </c>
      <c r="H317" s="32">
        <f t="shared" si="315"/>
        <v>500000</v>
      </c>
      <c r="I317" s="32">
        <f t="shared" si="315"/>
        <v>500000</v>
      </c>
      <c r="J317" s="32">
        <f t="shared" si="315"/>
        <v>500000</v>
      </c>
      <c r="K317" s="32">
        <f t="shared" si="315"/>
        <v>500000</v>
      </c>
      <c r="L317" s="5">
        <f t="shared" si="312"/>
        <v>500000</v>
      </c>
    </row>
    <row r="318" spans="1:12" x14ac:dyDescent="0.25">
      <c r="A318" s="4" t="s">
        <v>12</v>
      </c>
      <c r="B318" s="32">
        <f t="shared" ref="B318:K318" si="316">$F7*B305</f>
        <v>15135160.683333334</v>
      </c>
      <c r="C318" s="32">
        <f t="shared" si="316"/>
        <v>15135160.683333334</v>
      </c>
      <c r="D318" s="32">
        <f t="shared" si="316"/>
        <v>15135160.683333334</v>
      </c>
      <c r="E318" s="32">
        <f t="shared" si="316"/>
        <v>15135160.683333334</v>
      </c>
      <c r="F318" s="32">
        <f t="shared" si="316"/>
        <v>15135160.683333334</v>
      </c>
      <c r="G318" s="32">
        <f t="shared" si="316"/>
        <v>15135160.683333334</v>
      </c>
      <c r="H318" s="32">
        <f t="shared" si="316"/>
        <v>15135160.683333334</v>
      </c>
      <c r="I318" s="32">
        <f t="shared" si="316"/>
        <v>15135160.683333334</v>
      </c>
      <c r="J318" s="32">
        <f t="shared" si="316"/>
        <v>15135160.683333334</v>
      </c>
      <c r="K318" s="32">
        <f t="shared" si="316"/>
        <v>15135160.683333334</v>
      </c>
      <c r="L318" s="5">
        <f t="shared" si="312"/>
        <v>15135160.683333334</v>
      </c>
    </row>
    <row r="319" spans="1:12" x14ac:dyDescent="0.25">
      <c r="A319" s="4" t="s">
        <v>13</v>
      </c>
      <c r="B319" s="32">
        <f t="shared" ref="B319:K319" si="317">$F8*B306</f>
        <v>0</v>
      </c>
      <c r="C319" s="32">
        <f t="shared" si="317"/>
        <v>0</v>
      </c>
      <c r="D319" s="32">
        <f t="shared" si="317"/>
        <v>0</v>
      </c>
      <c r="E319" s="32">
        <f t="shared" si="317"/>
        <v>0</v>
      </c>
      <c r="F319" s="32">
        <f t="shared" si="317"/>
        <v>0</v>
      </c>
      <c r="G319" s="32">
        <f t="shared" si="317"/>
        <v>0</v>
      </c>
      <c r="H319" s="32">
        <f t="shared" si="317"/>
        <v>0</v>
      </c>
      <c r="I319" s="32">
        <f t="shared" si="317"/>
        <v>0</v>
      </c>
      <c r="J319" s="32">
        <f t="shared" si="317"/>
        <v>0</v>
      </c>
      <c r="K319" s="32">
        <f t="shared" si="317"/>
        <v>0</v>
      </c>
      <c r="L319" s="5">
        <f t="shared" si="312"/>
        <v>0</v>
      </c>
    </row>
    <row r="320" spans="1:12" x14ac:dyDescent="0.25">
      <c r="A320" s="4" t="s">
        <v>14</v>
      </c>
      <c r="B320" s="32">
        <f t="shared" ref="B320:K320" si="318">$F9*B307</f>
        <v>0</v>
      </c>
      <c r="C320" s="32">
        <f t="shared" si="318"/>
        <v>0</v>
      </c>
      <c r="D320" s="32">
        <f t="shared" si="318"/>
        <v>0</v>
      </c>
      <c r="E320" s="32">
        <f t="shared" si="318"/>
        <v>0</v>
      </c>
      <c r="F320" s="32">
        <f t="shared" si="318"/>
        <v>0</v>
      </c>
      <c r="G320" s="32">
        <f t="shared" si="318"/>
        <v>0</v>
      </c>
      <c r="H320" s="32">
        <f t="shared" si="318"/>
        <v>0</v>
      </c>
      <c r="I320" s="32">
        <f t="shared" si="318"/>
        <v>0</v>
      </c>
      <c r="J320" s="32">
        <f t="shared" si="318"/>
        <v>0</v>
      </c>
      <c r="K320" s="32">
        <f t="shared" si="318"/>
        <v>0</v>
      </c>
      <c r="L320" s="5">
        <f t="shared" si="312"/>
        <v>0</v>
      </c>
    </row>
    <row r="321" spans="1:13" x14ac:dyDescent="0.25">
      <c r="A321" s="4" t="s">
        <v>125</v>
      </c>
      <c r="B321" s="32">
        <f t="shared" ref="B321:K321" si="319">$F10*B308</f>
        <v>0</v>
      </c>
      <c r="C321" s="32">
        <f t="shared" si="319"/>
        <v>0</v>
      </c>
      <c r="D321" s="32">
        <f t="shared" si="319"/>
        <v>0</v>
      </c>
      <c r="E321" s="32">
        <f t="shared" si="319"/>
        <v>0</v>
      </c>
      <c r="F321" s="32">
        <f t="shared" si="319"/>
        <v>0</v>
      </c>
      <c r="G321" s="32">
        <f t="shared" si="319"/>
        <v>0</v>
      </c>
      <c r="H321" s="32">
        <f t="shared" si="319"/>
        <v>0</v>
      </c>
      <c r="I321" s="32">
        <f t="shared" si="319"/>
        <v>0</v>
      </c>
      <c r="J321" s="32">
        <f t="shared" si="319"/>
        <v>0</v>
      </c>
      <c r="K321" s="32">
        <f t="shared" si="319"/>
        <v>0</v>
      </c>
      <c r="L321" s="5">
        <f t="shared" si="312"/>
        <v>0</v>
      </c>
    </row>
    <row r="322" spans="1:13" x14ac:dyDescent="0.25">
      <c r="A322" s="4" t="s">
        <v>37</v>
      </c>
      <c r="B322" s="32">
        <f t="shared" ref="B322:K322" si="320">$F11*B309</f>
        <v>25646636.425000001</v>
      </c>
      <c r="C322" s="32">
        <f t="shared" si="320"/>
        <v>25646636.425000001</v>
      </c>
      <c r="D322" s="32">
        <f t="shared" si="320"/>
        <v>25646636.425000001</v>
      </c>
      <c r="E322" s="32">
        <f t="shared" si="320"/>
        <v>25646636.425000001</v>
      </c>
      <c r="F322" s="32">
        <f t="shared" si="320"/>
        <v>25646636.425000001</v>
      </c>
      <c r="G322" s="32">
        <f t="shared" si="320"/>
        <v>25646636.425000001</v>
      </c>
      <c r="H322" s="32">
        <f t="shared" si="320"/>
        <v>25646636.425000001</v>
      </c>
      <c r="I322" s="32">
        <f t="shared" si="320"/>
        <v>25646636.425000001</v>
      </c>
      <c r="J322" s="32">
        <f t="shared" si="320"/>
        <v>25646636.425000001</v>
      </c>
      <c r="K322" s="32">
        <f t="shared" si="320"/>
        <v>25646636.425000001</v>
      </c>
      <c r="L322" s="5">
        <f t="shared" si="312"/>
        <v>25646636.425000004</v>
      </c>
    </row>
    <row r="323" spans="1:13" x14ac:dyDescent="0.25">
      <c r="A323" s="4" t="s">
        <v>38</v>
      </c>
      <c r="B323" s="32">
        <f t="shared" ref="B323:K323" si="321">$F12*B310</f>
        <v>1892491.0200000003</v>
      </c>
      <c r="C323" s="32">
        <f t="shared" si="321"/>
        <v>1892491.0200000003</v>
      </c>
      <c r="D323" s="32">
        <f t="shared" si="321"/>
        <v>1892491.0200000003</v>
      </c>
      <c r="E323" s="32">
        <f t="shared" si="321"/>
        <v>1892491.0200000003</v>
      </c>
      <c r="F323" s="32">
        <f t="shared" si="321"/>
        <v>1892491.0200000003</v>
      </c>
      <c r="G323" s="32">
        <f t="shared" si="321"/>
        <v>1892491.0200000003</v>
      </c>
      <c r="H323" s="32">
        <f t="shared" si="321"/>
        <v>1892491.0200000003</v>
      </c>
      <c r="I323" s="32">
        <f t="shared" si="321"/>
        <v>1892491.0200000003</v>
      </c>
      <c r="J323" s="32">
        <f t="shared" si="321"/>
        <v>1892491.0200000003</v>
      </c>
      <c r="K323" s="32">
        <f t="shared" si="321"/>
        <v>1892491.0200000003</v>
      </c>
      <c r="L323" s="5">
        <f t="shared" si="312"/>
        <v>1892491.02</v>
      </c>
    </row>
    <row r="324" spans="1:13" x14ac:dyDescent="0.25">
      <c r="A324" s="4" t="s">
        <v>15</v>
      </c>
      <c r="B324" s="13">
        <f t="shared" ref="B324:K324" si="322">$F13*B311</f>
        <v>36232253.895000003</v>
      </c>
      <c r="C324" s="13">
        <f t="shared" si="322"/>
        <v>36232253.895000003</v>
      </c>
      <c r="D324" s="13">
        <f t="shared" si="322"/>
        <v>36232253.895000003</v>
      </c>
      <c r="E324" s="13">
        <f t="shared" si="322"/>
        <v>36232253.895000003</v>
      </c>
      <c r="F324" s="13">
        <f t="shared" si="322"/>
        <v>36232253.895000003</v>
      </c>
      <c r="G324" s="13">
        <f t="shared" si="322"/>
        <v>36232253.895000003</v>
      </c>
      <c r="H324" s="13">
        <f t="shared" si="322"/>
        <v>36232253.895000003</v>
      </c>
      <c r="I324" s="13">
        <f t="shared" si="322"/>
        <v>36232253.895000003</v>
      </c>
      <c r="J324" s="13">
        <f t="shared" si="322"/>
        <v>36232253.895000003</v>
      </c>
      <c r="K324" s="13">
        <f t="shared" si="322"/>
        <v>36232253.895000003</v>
      </c>
      <c r="L324" s="13">
        <f t="shared" si="312"/>
        <v>36232253.894999996</v>
      </c>
    </row>
    <row r="325" spans="1:13" x14ac:dyDescent="0.25">
      <c r="B325" s="5">
        <f t="shared" ref="B325:K325" si="323">SUM(B314:B324)</f>
        <v>96904819.393333346</v>
      </c>
      <c r="C325" s="5">
        <f t="shared" si="323"/>
        <v>96904819.393333346</v>
      </c>
      <c r="D325" s="5">
        <f t="shared" si="323"/>
        <v>96904819.393333346</v>
      </c>
      <c r="E325" s="5">
        <f t="shared" si="323"/>
        <v>96904819.393333346</v>
      </c>
      <c r="F325" s="5">
        <f t="shared" si="323"/>
        <v>96904819.393333346</v>
      </c>
      <c r="G325" s="5">
        <f t="shared" si="323"/>
        <v>96904819.393333346</v>
      </c>
      <c r="H325" s="5">
        <f t="shared" si="323"/>
        <v>96904819.393333346</v>
      </c>
      <c r="I325" s="5">
        <f t="shared" si="323"/>
        <v>96904819.393333346</v>
      </c>
      <c r="J325" s="5">
        <f t="shared" si="323"/>
        <v>96904819.393333346</v>
      </c>
      <c r="K325" s="5">
        <f t="shared" si="323"/>
        <v>96904819.393333346</v>
      </c>
      <c r="L325" s="5">
        <f t="shared" si="312"/>
        <v>96904819.393333331</v>
      </c>
      <c r="M325" s="62">
        <f>B325-SUM($F$3:$F$13)</f>
        <v>0</v>
      </c>
    </row>
    <row r="327" spans="1:13" x14ac:dyDescent="0.25">
      <c r="A327" s="59" t="s">
        <v>56</v>
      </c>
      <c r="L327" s="12" t="s">
        <v>28</v>
      </c>
    </row>
    <row r="328" spans="1:13" x14ac:dyDescent="0.25">
      <c r="A328" s="4" t="s">
        <v>35</v>
      </c>
      <c r="B328" s="14">
        <f>B314*B301*'Data inputs'!$B14</f>
        <v>8392054.7056499999</v>
      </c>
      <c r="C328" s="14">
        <f>C314*C301*'Data inputs'!$B14</f>
        <v>8392054.7056499999</v>
      </c>
      <c r="D328" s="14">
        <f>D314*D301*'Data inputs'!$B14</f>
        <v>8392054.7056499999</v>
      </c>
      <c r="E328" s="14">
        <f>E314*E301*'Data inputs'!$B14</f>
        <v>8392054.7056499999</v>
      </c>
      <c r="F328" s="14">
        <f>F314*F301*'Data inputs'!$B14</f>
        <v>8392054.7056499999</v>
      </c>
      <c r="G328" s="14">
        <f>G314*G301*'Data inputs'!$B14</f>
        <v>8392054.7056499999</v>
      </c>
      <c r="H328" s="14">
        <f>H314*H301*'Data inputs'!$B14</f>
        <v>8392054.7056499999</v>
      </c>
      <c r="I328" s="14">
        <f>I314*I301*'Data inputs'!$B14</f>
        <v>8392054.7056499999</v>
      </c>
      <c r="J328" s="14">
        <f>J314*J301*'Data inputs'!$B14</f>
        <v>8392054.7056499999</v>
      </c>
      <c r="K328" s="14">
        <f>K314*K301*'Data inputs'!$B14</f>
        <v>8392054.7056499999</v>
      </c>
      <c r="L328" s="5">
        <f t="shared" ref="L328:L339" si="324">AVERAGE(B328:K328)</f>
        <v>8392054.7056499999</v>
      </c>
    </row>
    <row r="329" spans="1:13" x14ac:dyDescent="0.25">
      <c r="A329" s="4" t="s">
        <v>36</v>
      </c>
      <c r="B329" s="14">
        <f>B315*B302*'Data inputs'!$B15</f>
        <v>1979851.5075000003</v>
      </c>
      <c r="C329" s="14">
        <f>C315*C302*'Data inputs'!$B15</f>
        <v>1979851.5075000003</v>
      </c>
      <c r="D329" s="14">
        <f>D315*D302*'Data inputs'!$B15</f>
        <v>1979851.5075000003</v>
      </c>
      <c r="E329" s="14">
        <f>E315*E302*'Data inputs'!$B15</f>
        <v>1979851.5075000003</v>
      </c>
      <c r="F329" s="14">
        <f>F315*F302*'Data inputs'!$B15</f>
        <v>1979851.5075000003</v>
      </c>
      <c r="G329" s="14">
        <f>G315*G302*'Data inputs'!$B15</f>
        <v>1979851.5075000003</v>
      </c>
      <c r="H329" s="14">
        <f>H315*H302*'Data inputs'!$B15</f>
        <v>1979851.5075000003</v>
      </c>
      <c r="I329" s="14">
        <f>I315*I302*'Data inputs'!$B15</f>
        <v>1979851.5075000003</v>
      </c>
      <c r="J329" s="14">
        <f>J315*J302*'Data inputs'!$B15</f>
        <v>1979851.5075000003</v>
      </c>
      <c r="K329" s="14">
        <f>K315*K302*'Data inputs'!$B15</f>
        <v>1979851.5075000003</v>
      </c>
      <c r="L329" s="5">
        <f t="shared" si="324"/>
        <v>1979851.5075000003</v>
      </c>
    </row>
    <row r="330" spans="1:13" x14ac:dyDescent="0.25">
      <c r="A330" s="4" t="s">
        <v>11</v>
      </c>
      <c r="B330" s="14">
        <f>B316*B303*'Data inputs'!$B16</f>
        <v>0</v>
      </c>
      <c r="C330" s="14">
        <f>C316*C303*'Data inputs'!$B16</f>
        <v>0</v>
      </c>
      <c r="D330" s="14">
        <f>D316*D303*'Data inputs'!$B16</f>
        <v>0</v>
      </c>
      <c r="E330" s="14">
        <f>E316*E303*'Data inputs'!$B16</f>
        <v>0</v>
      </c>
      <c r="F330" s="14">
        <f>F316*F303*'Data inputs'!$B16</f>
        <v>0</v>
      </c>
      <c r="G330" s="14">
        <f>G316*G303*'Data inputs'!$B16</f>
        <v>0</v>
      </c>
      <c r="H330" s="14">
        <f>H316*H303*'Data inputs'!$B16</f>
        <v>0</v>
      </c>
      <c r="I330" s="14">
        <f>I316*I303*'Data inputs'!$B16</f>
        <v>0</v>
      </c>
      <c r="J330" s="14">
        <f>J316*J303*'Data inputs'!$B16</f>
        <v>0</v>
      </c>
      <c r="K330" s="14">
        <f>K316*K303*'Data inputs'!$B16</f>
        <v>0</v>
      </c>
      <c r="L330" s="5">
        <f t="shared" si="324"/>
        <v>0</v>
      </c>
    </row>
    <row r="331" spans="1:13" x14ac:dyDescent="0.25">
      <c r="A331" s="4" t="s">
        <v>124</v>
      </c>
      <c r="B331" s="14">
        <f>B317*B304*'Data inputs'!$B17</f>
        <v>399999.99999999994</v>
      </c>
      <c r="C331" s="14">
        <f>C317*C304*'Data inputs'!$B17</f>
        <v>399999.99999999994</v>
      </c>
      <c r="D331" s="14">
        <f>D317*D304*'Data inputs'!$B17</f>
        <v>399999.99999999994</v>
      </c>
      <c r="E331" s="14">
        <f>E317*E304*'Data inputs'!$B17</f>
        <v>399999.99999999994</v>
      </c>
      <c r="F331" s="14">
        <f>F317*F304*'Data inputs'!$B17</f>
        <v>399999.99999999994</v>
      </c>
      <c r="G331" s="14">
        <f>G317*G304*'Data inputs'!$B17</f>
        <v>399999.99999999994</v>
      </c>
      <c r="H331" s="14">
        <f>H317*H304*'Data inputs'!$B17</f>
        <v>399999.99999999994</v>
      </c>
      <c r="I331" s="14">
        <f>I317*I304*'Data inputs'!$B17</f>
        <v>399999.99999999994</v>
      </c>
      <c r="J331" s="14">
        <f>J317*J304*'Data inputs'!$B17</f>
        <v>399999.99999999994</v>
      </c>
      <c r="K331" s="14">
        <f>K317*K304*'Data inputs'!$B17</f>
        <v>399999.99999999994</v>
      </c>
      <c r="L331" s="5">
        <f t="shared" si="324"/>
        <v>399999.99999999994</v>
      </c>
    </row>
    <row r="332" spans="1:13" x14ac:dyDescent="0.25">
      <c r="A332" s="4" t="s">
        <v>12</v>
      </c>
      <c r="B332" s="14">
        <f>B318*B305*'Data inputs'!$B18</f>
        <v>1513516.0683333334</v>
      </c>
      <c r="C332" s="14">
        <f>C318*C305*'Data inputs'!$B18</f>
        <v>1513516.0683333334</v>
      </c>
      <c r="D332" s="14">
        <f>D318*D305*'Data inputs'!$B18</f>
        <v>1513516.0683333334</v>
      </c>
      <c r="E332" s="14">
        <f>E318*E305*'Data inputs'!$B18</f>
        <v>1513516.0683333334</v>
      </c>
      <c r="F332" s="14">
        <f>F318*F305*'Data inputs'!$B18</f>
        <v>1513516.0683333334</v>
      </c>
      <c r="G332" s="14">
        <f>G318*G305*'Data inputs'!$B18</f>
        <v>1513516.0683333334</v>
      </c>
      <c r="H332" s="14">
        <f>H318*H305*'Data inputs'!$B18</f>
        <v>1513516.0683333334</v>
      </c>
      <c r="I332" s="14">
        <f>I318*I305*'Data inputs'!$B18</f>
        <v>1513516.0683333334</v>
      </c>
      <c r="J332" s="14">
        <f>J318*J305*'Data inputs'!$B18</f>
        <v>1513516.0683333334</v>
      </c>
      <c r="K332" s="14">
        <f>K318*K305*'Data inputs'!$B18</f>
        <v>1513516.0683333334</v>
      </c>
      <c r="L332" s="5">
        <f t="shared" si="324"/>
        <v>1513516.0683333334</v>
      </c>
    </row>
    <row r="333" spans="1:13" x14ac:dyDescent="0.25">
      <c r="A333" s="4" t="s">
        <v>13</v>
      </c>
      <c r="B333" s="14">
        <f>B319*B306*'Data inputs'!$B19</f>
        <v>0</v>
      </c>
      <c r="C333" s="14">
        <f>C319*C306*'Data inputs'!$B19</f>
        <v>0</v>
      </c>
      <c r="D333" s="14">
        <f>D319*D306*'Data inputs'!$B19</f>
        <v>0</v>
      </c>
      <c r="E333" s="14">
        <f>E319*E306*'Data inputs'!$B19</f>
        <v>0</v>
      </c>
      <c r="F333" s="14">
        <f>F319*F306*'Data inputs'!$B19</f>
        <v>0</v>
      </c>
      <c r="G333" s="14">
        <f>G319*G306*'Data inputs'!$B19</f>
        <v>0</v>
      </c>
      <c r="H333" s="14">
        <f>H319*H306*'Data inputs'!$B19</f>
        <v>0</v>
      </c>
      <c r="I333" s="14">
        <f>I319*I306*'Data inputs'!$B19</f>
        <v>0</v>
      </c>
      <c r="J333" s="14">
        <f>J319*J306*'Data inputs'!$B19</f>
        <v>0</v>
      </c>
      <c r="K333" s="14">
        <f>K319*K306*'Data inputs'!$B19</f>
        <v>0</v>
      </c>
      <c r="L333" s="5">
        <f t="shared" si="324"/>
        <v>0</v>
      </c>
    </row>
    <row r="334" spans="1:13" x14ac:dyDescent="0.25">
      <c r="A334" s="4" t="s">
        <v>14</v>
      </c>
      <c r="B334" s="14">
        <f>B320*B307*'Data inputs'!$B20</f>
        <v>0</v>
      </c>
      <c r="C334" s="14">
        <f>C320*C307*'Data inputs'!$B20</f>
        <v>0</v>
      </c>
      <c r="D334" s="14">
        <f>D320*D307*'Data inputs'!$B20</f>
        <v>0</v>
      </c>
      <c r="E334" s="14">
        <f>E320*E307*'Data inputs'!$B20</f>
        <v>0</v>
      </c>
      <c r="F334" s="14">
        <f>F320*F307*'Data inputs'!$B20</f>
        <v>0</v>
      </c>
      <c r="G334" s="14">
        <f>G320*G307*'Data inputs'!$B20</f>
        <v>0</v>
      </c>
      <c r="H334" s="14">
        <f>H320*H307*'Data inputs'!$B20</f>
        <v>0</v>
      </c>
      <c r="I334" s="14">
        <f>I320*I307*'Data inputs'!$B20</f>
        <v>0</v>
      </c>
      <c r="J334" s="14">
        <f>J320*J307*'Data inputs'!$B20</f>
        <v>0</v>
      </c>
      <c r="K334" s="14">
        <f>K320*K307*'Data inputs'!$B20</f>
        <v>0</v>
      </c>
      <c r="L334" s="5">
        <f t="shared" si="324"/>
        <v>0</v>
      </c>
    </row>
    <row r="335" spans="1:13" x14ac:dyDescent="0.25">
      <c r="A335" s="4" t="s">
        <v>125</v>
      </c>
      <c r="B335" s="14">
        <f>B321*B308*'Data inputs'!$B21</f>
        <v>0</v>
      </c>
      <c r="C335" s="14">
        <f>C321*C308*'Data inputs'!$B21</f>
        <v>0</v>
      </c>
      <c r="D335" s="14">
        <f>D321*D308*'Data inputs'!$B21</f>
        <v>0</v>
      </c>
      <c r="E335" s="14">
        <f>E321*E308*'Data inputs'!$B21</f>
        <v>0</v>
      </c>
      <c r="F335" s="14">
        <f>F321*F308*'Data inputs'!$B21</f>
        <v>0</v>
      </c>
      <c r="G335" s="14">
        <f>G321*G308*'Data inputs'!$B21</f>
        <v>0</v>
      </c>
      <c r="H335" s="14">
        <f>H321*H308*'Data inputs'!$B21</f>
        <v>0</v>
      </c>
      <c r="I335" s="14">
        <f>I321*I308*'Data inputs'!$B21</f>
        <v>0</v>
      </c>
      <c r="J335" s="14">
        <f>J321*J308*'Data inputs'!$B21</f>
        <v>0</v>
      </c>
      <c r="K335" s="14">
        <f>K321*K308*'Data inputs'!$B21</f>
        <v>0</v>
      </c>
      <c r="L335" s="5">
        <f t="shared" si="324"/>
        <v>0</v>
      </c>
    </row>
    <row r="336" spans="1:13" x14ac:dyDescent="0.25">
      <c r="A336" s="4" t="s">
        <v>37</v>
      </c>
      <c r="B336" s="14">
        <f>B322*B309*'Data inputs'!$B22</f>
        <v>16157380.94775</v>
      </c>
      <c r="C336" s="14">
        <f>C322*C309*'Data inputs'!$B22</f>
        <v>16157380.94775</v>
      </c>
      <c r="D336" s="14">
        <f>D322*D309*'Data inputs'!$B22</f>
        <v>16157380.94775</v>
      </c>
      <c r="E336" s="14">
        <f>E322*E309*'Data inputs'!$B22</f>
        <v>16157380.94775</v>
      </c>
      <c r="F336" s="14">
        <f>F322*F309*'Data inputs'!$B22</f>
        <v>16157380.94775</v>
      </c>
      <c r="G336" s="14">
        <f>G322*G309*'Data inputs'!$B22</f>
        <v>16157380.94775</v>
      </c>
      <c r="H336" s="14">
        <f>H322*H309*'Data inputs'!$B22</f>
        <v>16157380.94775</v>
      </c>
      <c r="I336" s="14">
        <f>I322*I309*'Data inputs'!$B22</f>
        <v>16157380.94775</v>
      </c>
      <c r="J336" s="14">
        <f>J322*J309*'Data inputs'!$B22</f>
        <v>16157380.94775</v>
      </c>
      <c r="K336" s="14">
        <f>K322*K309*'Data inputs'!$B22</f>
        <v>16157380.94775</v>
      </c>
      <c r="L336" s="5">
        <f t="shared" si="324"/>
        <v>16157380.947749998</v>
      </c>
    </row>
    <row r="337" spans="1:12" x14ac:dyDescent="0.25">
      <c r="A337" s="4" t="s">
        <v>38</v>
      </c>
      <c r="B337" s="14">
        <f>B323*B310*'Data inputs'!$B23</f>
        <v>189249.10200000004</v>
      </c>
      <c r="C337" s="14">
        <f>C323*C310*'Data inputs'!$B23</f>
        <v>189249.10200000004</v>
      </c>
      <c r="D337" s="14">
        <f>D323*D310*'Data inputs'!$B23</f>
        <v>189249.10200000004</v>
      </c>
      <c r="E337" s="14">
        <f>E323*E310*'Data inputs'!$B23</f>
        <v>189249.10200000004</v>
      </c>
      <c r="F337" s="14">
        <f>F323*F310*'Data inputs'!$B23</f>
        <v>189249.10200000004</v>
      </c>
      <c r="G337" s="14">
        <f>G323*G310*'Data inputs'!$B23</f>
        <v>189249.10200000004</v>
      </c>
      <c r="H337" s="14">
        <f>H323*H310*'Data inputs'!$B23</f>
        <v>189249.10200000004</v>
      </c>
      <c r="I337" s="14">
        <f>I323*I310*'Data inputs'!$B23</f>
        <v>189249.10200000004</v>
      </c>
      <c r="J337" s="14">
        <f>J323*J310*'Data inputs'!$B23</f>
        <v>189249.10200000004</v>
      </c>
      <c r="K337" s="14">
        <f>K323*K310*'Data inputs'!$B23</f>
        <v>189249.10200000004</v>
      </c>
      <c r="L337" s="5">
        <f t="shared" si="324"/>
        <v>189249.10200000001</v>
      </c>
    </row>
    <row r="338" spans="1:12" x14ac:dyDescent="0.25">
      <c r="A338" s="4" t="s">
        <v>15</v>
      </c>
      <c r="B338" s="60">
        <f>B324*B311*'Data inputs'!$B24</f>
        <v>14492901.558000002</v>
      </c>
      <c r="C338" s="60">
        <f>C324*C311*'Data inputs'!$B24</f>
        <v>14492901.558000002</v>
      </c>
      <c r="D338" s="60">
        <f>D324*D311*'Data inputs'!$B24</f>
        <v>14492901.558000002</v>
      </c>
      <c r="E338" s="60">
        <f>E324*E311*'Data inputs'!$B24</f>
        <v>14492901.558000002</v>
      </c>
      <c r="F338" s="60">
        <f>F324*F311*'Data inputs'!$B24</f>
        <v>14492901.558000002</v>
      </c>
      <c r="G338" s="60">
        <f>G324*G311*'Data inputs'!$B24</f>
        <v>14492901.558000002</v>
      </c>
      <c r="H338" s="60">
        <f>H324*H311*'Data inputs'!$B24</f>
        <v>14492901.558000002</v>
      </c>
      <c r="I338" s="60">
        <f>I324*I311*'Data inputs'!$B24</f>
        <v>14492901.558000002</v>
      </c>
      <c r="J338" s="60">
        <f>J324*J311*'Data inputs'!$B24</f>
        <v>14492901.558000002</v>
      </c>
      <c r="K338" s="60">
        <f>K324*K311*'Data inputs'!$B24</f>
        <v>14492901.558000002</v>
      </c>
      <c r="L338" s="13">
        <f t="shared" si="324"/>
        <v>14492901.558000002</v>
      </c>
    </row>
    <row r="339" spans="1:12" x14ac:dyDescent="0.25">
      <c r="B339" s="14">
        <f>SUM(B328:B338)</f>
        <v>43124953.889233336</v>
      </c>
      <c r="C339" s="14">
        <f t="shared" ref="C339" si="325">SUM(C328:C338)</f>
        <v>43124953.889233336</v>
      </c>
      <c r="D339" s="14">
        <f t="shared" ref="D339" si="326">SUM(D328:D338)</f>
        <v>43124953.889233336</v>
      </c>
      <c r="E339" s="14">
        <f t="shared" ref="E339" si="327">SUM(E328:E338)</f>
        <v>43124953.889233336</v>
      </c>
      <c r="F339" s="14">
        <f t="shared" ref="F339" si="328">SUM(F328:F338)</f>
        <v>43124953.889233336</v>
      </c>
      <c r="G339" s="14">
        <f t="shared" ref="G339" si="329">SUM(G328:G338)</f>
        <v>43124953.889233336</v>
      </c>
      <c r="H339" s="14">
        <f t="shared" ref="H339" si="330">SUM(H328:H338)</f>
        <v>43124953.889233336</v>
      </c>
      <c r="I339" s="14">
        <f t="shared" ref="I339" si="331">SUM(I328:I338)</f>
        <v>43124953.889233336</v>
      </c>
      <c r="J339" s="14">
        <f t="shared" ref="J339" si="332">SUM(J328:J338)</f>
        <v>43124953.889233336</v>
      </c>
      <c r="K339" s="14">
        <f t="shared" ref="K339" si="333">SUM(K328:K338)</f>
        <v>43124953.889233336</v>
      </c>
      <c r="L339" s="5">
        <f t="shared" si="324"/>
        <v>43124953.889233343</v>
      </c>
    </row>
    <row r="340" spans="1:12" x14ac:dyDescent="0.25">
      <c r="B340" s="16">
        <f>B339/B$325</f>
        <v>0.44502383017908143</v>
      </c>
      <c r="C340" s="16">
        <f t="shared" ref="C340:J340" si="334">C339/C$325</f>
        <v>0.44502383017908143</v>
      </c>
      <c r="D340" s="16">
        <f t="shared" si="334"/>
        <v>0.44502383017908143</v>
      </c>
      <c r="E340" s="16">
        <f t="shared" si="334"/>
        <v>0.44502383017908143</v>
      </c>
      <c r="F340" s="16">
        <f t="shared" si="334"/>
        <v>0.44502383017908143</v>
      </c>
      <c r="G340" s="16">
        <f t="shared" si="334"/>
        <v>0.44502383017908143</v>
      </c>
      <c r="H340" s="16">
        <f t="shared" si="334"/>
        <v>0.44502383017908143</v>
      </c>
      <c r="I340" s="16">
        <f t="shared" si="334"/>
        <v>0.44502383017908143</v>
      </c>
      <c r="J340" s="16">
        <f t="shared" si="334"/>
        <v>0.44502383017908143</v>
      </c>
      <c r="K340" s="16">
        <f>K339/K$325</f>
        <v>0.44502383017908143</v>
      </c>
    </row>
    <row r="341" spans="1:12" x14ac:dyDescent="0.25">
      <c r="B341" s="16"/>
      <c r="C341" s="16"/>
      <c r="D341" s="16"/>
      <c r="E341" s="16"/>
      <c r="F341" s="16"/>
      <c r="G341" s="16"/>
      <c r="H341" s="16"/>
      <c r="I341" s="16"/>
      <c r="J341" s="16"/>
      <c r="K341" s="16"/>
    </row>
    <row r="342" spans="1:12" x14ac:dyDescent="0.25">
      <c r="A342" s="59" t="s">
        <v>57</v>
      </c>
      <c r="L342" s="12" t="s">
        <v>28</v>
      </c>
    </row>
    <row r="343" spans="1:12" x14ac:dyDescent="0.25">
      <c r="A343" s="4" t="s">
        <v>35</v>
      </c>
      <c r="B343" s="14">
        <f>B314*B301*'Data inputs'!$C14</f>
        <v>6212300.2366500013</v>
      </c>
      <c r="C343" s="14">
        <f>C314*C301*'Data inputs'!$C14</f>
        <v>6212300.2366500013</v>
      </c>
      <c r="D343" s="14">
        <f>D314*D301*'Data inputs'!$C14</f>
        <v>6212300.2366500013</v>
      </c>
      <c r="E343" s="14">
        <f>E314*E301*'Data inputs'!$C14</f>
        <v>6212300.2366500013</v>
      </c>
      <c r="F343" s="14">
        <f>F314*F301*'Data inputs'!$C14</f>
        <v>6212300.2366500013</v>
      </c>
      <c r="G343" s="14">
        <f>G314*G301*'Data inputs'!$C14</f>
        <v>6212300.2366500013</v>
      </c>
      <c r="H343" s="14">
        <f>H314*H301*'Data inputs'!$C14</f>
        <v>6212300.2366500013</v>
      </c>
      <c r="I343" s="14">
        <f>I314*I301*'Data inputs'!$C14</f>
        <v>6212300.2366500013</v>
      </c>
      <c r="J343" s="14">
        <f>J314*J301*'Data inputs'!$C14</f>
        <v>6212300.2366500013</v>
      </c>
      <c r="K343" s="14">
        <f>K314*K301*'Data inputs'!$C14</f>
        <v>6212300.2366500013</v>
      </c>
      <c r="L343" s="5">
        <f t="shared" ref="L343:L354" si="335">AVERAGE(B343:K343)</f>
        <v>6212300.2366500022</v>
      </c>
    </row>
    <row r="344" spans="1:12" x14ac:dyDescent="0.25">
      <c r="A344" s="4" t="s">
        <v>36</v>
      </c>
      <c r="B344" s="14">
        <f>B315*B302*'Data inputs'!$C15</f>
        <v>659950.50250000006</v>
      </c>
      <c r="C344" s="14">
        <f>C315*C302*'Data inputs'!$C15</f>
        <v>659950.50250000006</v>
      </c>
      <c r="D344" s="14">
        <f>D315*D302*'Data inputs'!$C15</f>
        <v>659950.50250000006</v>
      </c>
      <c r="E344" s="14">
        <f>E315*E302*'Data inputs'!$C15</f>
        <v>659950.50250000006</v>
      </c>
      <c r="F344" s="14">
        <f>F315*F302*'Data inputs'!$C15</f>
        <v>659950.50250000006</v>
      </c>
      <c r="G344" s="14">
        <f>G315*G302*'Data inputs'!$C15</f>
        <v>659950.50250000006</v>
      </c>
      <c r="H344" s="14">
        <f>H315*H302*'Data inputs'!$C15</f>
        <v>659950.50250000006</v>
      </c>
      <c r="I344" s="14">
        <f>I315*I302*'Data inputs'!$C15</f>
        <v>659950.50250000006</v>
      </c>
      <c r="J344" s="14">
        <f>J315*J302*'Data inputs'!$C15</f>
        <v>659950.50250000006</v>
      </c>
      <c r="K344" s="14">
        <f>K315*K302*'Data inputs'!$C15</f>
        <v>659950.50250000006</v>
      </c>
      <c r="L344" s="5">
        <f t="shared" si="335"/>
        <v>659950.50250000018</v>
      </c>
    </row>
    <row r="345" spans="1:12" x14ac:dyDescent="0.25">
      <c r="A345" s="4" t="s">
        <v>11</v>
      </c>
      <c r="B345" s="14">
        <f>B316*B303*'Data inputs'!$C16</f>
        <v>0</v>
      </c>
      <c r="C345" s="14">
        <f>C316*C303*'Data inputs'!$C16</f>
        <v>0</v>
      </c>
      <c r="D345" s="14">
        <f>D316*D303*'Data inputs'!$C16</f>
        <v>0</v>
      </c>
      <c r="E345" s="14">
        <f>E316*E303*'Data inputs'!$C16</f>
        <v>0</v>
      </c>
      <c r="F345" s="14">
        <f>F316*F303*'Data inputs'!$C16</f>
        <v>0</v>
      </c>
      <c r="G345" s="14">
        <f>G316*G303*'Data inputs'!$C16</f>
        <v>0</v>
      </c>
      <c r="H345" s="14">
        <f>H316*H303*'Data inputs'!$C16</f>
        <v>0</v>
      </c>
      <c r="I345" s="14">
        <f>I316*I303*'Data inputs'!$C16</f>
        <v>0</v>
      </c>
      <c r="J345" s="14">
        <f>J316*J303*'Data inputs'!$C16</f>
        <v>0</v>
      </c>
      <c r="K345" s="14">
        <f>K316*K303*'Data inputs'!$C16</f>
        <v>0</v>
      </c>
      <c r="L345" s="5">
        <f t="shared" si="335"/>
        <v>0</v>
      </c>
    </row>
    <row r="346" spans="1:12" x14ac:dyDescent="0.25">
      <c r="A346" s="4" t="s">
        <v>124</v>
      </c>
      <c r="B346" s="14">
        <f>B317*B304*'Data inputs'!$C17</f>
        <v>300000</v>
      </c>
      <c r="C346" s="14">
        <f>C317*C304*'Data inputs'!$C17</f>
        <v>300000</v>
      </c>
      <c r="D346" s="14">
        <f>D317*D304*'Data inputs'!$C17</f>
        <v>300000</v>
      </c>
      <c r="E346" s="14">
        <f>E317*E304*'Data inputs'!$C17</f>
        <v>300000</v>
      </c>
      <c r="F346" s="14">
        <f>F317*F304*'Data inputs'!$C17</f>
        <v>300000</v>
      </c>
      <c r="G346" s="14">
        <f>G317*G304*'Data inputs'!$C17</f>
        <v>300000</v>
      </c>
      <c r="H346" s="14">
        <f>H317*H304*'Data inputs'!$C17</f>
        <v>300000</v>
      </c>
      <c r="I346" s="14">
        <f>I317*I304*'Data inputs'!$C17</f>
        <v>300000</v>
      </c>
      <c r="J346" s="14">
        <f>J317*J304*'Data inputs'!$C17</f>
        <v>300000</v>
      </c>
      <c r="K346" s="14">
        <f>K317*K304*'Data inputs'!$C17</f>
        <v>300000</v>
      </c>
      <c r="L346" s="5">
        <f t="shared" si="335"/>
        <v>300000</v>
      </c>
    </row>
    <row r="347" spans="1:12" x14ac:dyDescent="0.25">
      <c r="A347" s="4" t="s">
        <v>12</v>
      </c>
      <c r="B347" s="14">
        <f>B318*B305*'Data inputs'!$C18</f>
        <v>0</v>
      </c>
      <c r="C347" s="14">
        <f>C318*C305*'Data inputs'!$C18</f>
        <v>0</v>
      </c>
      <c r="D347" s="14">
        <f>D318*D305*'Data inputs'!$C18</f>
        <v>0</v>
      </c>
      <c r="E347" s="14">
        <f>E318*E305*'Data inputs'!$C18</f>
        <v>0</v>
      </c>
      <c r="F347" s="14">
        <f>F318*F305*'Data inputs'!$C18</f>
        <v>0</v>
      </c>
      <c r="G347" s="14">
        <f>G318*G305*'Data inputs'!$C18</f>
        <v>0</v>
      </c>
      <c r="H347" s="14">
        <f>H318*H305*'Data inputs'!$C18</f>
        <v>0</v>
      </c>
      <c r="I347" s="14">
        <f>I318*I305*'Data inputs'!$C18</f>
        <v>0</v>
      </c>
      <c r="J347" s="14">
        <f>J318*J305*'Data inputs'!$C18</f>
        <v>0</v>
      </c>
      <c r="K347" s="14">
        <f>K318*K305*'Data inputs'!$C18</f>
        <v>0</v>
      </c>
      <c r="L347" s="5">
        <f t="shared" si="335"/>
        <v>0</v>
      </c>
    </row>
    <row r="348" spans="1:12" x14ac:dyDescent="0.25">
      <c r="A348" s="4" t="s">
        <v>13</v>
      </c>
      <c r="B348" s="14">
        <f>B319*B306*'Data inputs'!$C19</f>
        <v>0</v>
      </c>
      <c r="C348" s="14">
        <f>C319*C306*'Data inputs'!$C19</f>
        <v>0</v>
      </c>
      <c r="D348" s="14">
        <f>D319*D306*'Data inputs'!$C19</f>
        <v>0</v>
      </c>
      <c r="E348" s="14">
        <f>E319*E306*'Data inputs'!$C19</f>
        <v>0</v>
      </c>
      <c r="F348" s="14">
        <f>F319*F306*'Data inputs'!$C19</f>
        <v>0</v>
      </c>
      <c r="G348" s="14">
        <f>G319*G306*'Data inputs'!$C19</f>
        <v>0</v>
      </c>
      <c r="H348" s="14">
        <f>H319*H306*'Data inputs'!$C19</f>
        <v>0</v>
      </c>
      <c r="I348" s="14">
        <f>I319*I306*'Data inputs'!$C19</f>
        <v>0</v>
      </c>
      <c r="J348" s="14">
        <f>J319*J306*'Data inputs'!$C19</f>
        <v>0</v>
      </c>
      <c r="K348" s="14">
        <f>K319*K306*'Data inputs'!$C19</f>
        <v>0</v>
      </c>
      <c r="L348" s="5">
        <f t="shared" si="335"/>
        <v>0</v>
      </c>
    </row>
    <row r="349" spans="1:12" x14ac:dyDescent="0.25">
      <c r="A349" s="4" t="s">
        <v>14</v>
      </c>
      <c r="B349" s="14">
        <f>B320*B307*'Data inputs'!$C20</f>
        <v>0</v>
      </c>
      <c r="C349" s="14">
        <f>C320*C307*'Data inputs'!$C20</f>
        <v>0</v>
      </c>
      <c r="D349" s="14">
        <f>D320*D307*'Data inputs'!$C20</f>
        <v>0</v>
      </c>
      <c r="E349" s="14">
        <f>E320*E307*'Data inputs'!$C20</f>
        <v>0</v>
      </c>
      <c r="F349" s="14">
        <f>F320*F307*'Data inputs'!$C20</f>
        <v>0</v>
      </c>
      <c r="G349" s="14">
        <f>G320*G307*'Data inputs'!$C20</f>
        <v>0</v>
      </c>
      <c r="H349" s="14">
        <f>H320*H307*'Data inputs'!$C20</f>
        <v>0</v>
      </c>
      <c r="I349" s="14">
        <f>I320*I307*'Data inputs'!$C20</f>
        <v>0</v>
      </c>
      <c r="J349" s="14">
        <f>J320*J307*'Data inputs'!$C20</f>
        <v>0</v>
      </c>
      <c r="K349" s="14">
        <f>K320*K307*'Data inputs'!$C20</f>
        <v>0</v>
      </c>
      <c r="L349" s="5">
        <f t="shared" si="335"/>
        <v>0</v>
      </c>
    </row>
    <row r="350" spans="1:12" x14ac:dyDescent="0.25">
      <c r="A350" s="4" t="s">
        <v>125</v>
      </c>
      <c r="B350" s="14">
        <f>B321*B308*'Data inputs'!$C21</f>
        <v>0</v>
      </c>
      <c r="C350" s="14">
        <f>C321*C308*'Data inputs'!$C21</f>
        <v>0</v>
      </c>
      <c r="D350" s="14">
        <f>D321*D308*'Data inputs'!$C21</f>
        <v>0</v>
      </c>
      <c r="E350" s="14">
        <f>E321*E308*'Data inputs'!$C21</f>
        <v>0</v>
      </c>
      <c r="F350" s="14">
        <f>F321*F308*'Data inputs'!$C21</f>
        <v>0</v>
      </c>
      <c r="G350" s="14">
        <f>G321*G308*'Data inputs'!$C21</f>
        <v>0</v>
      </c>
      <c r="H350" s="14">
        <f>H321*H308*'Data inputs'!$C21</f>
        <v>0</v>
      </c>
      <c r="I350" s="14">
        <f>I321*I308*'Data inputs'!$C21</f>
        <v>0</v>
      </c>
      <c r="J350" s="14">
        <f>J321*J308*'Data inputs'!$C21</f>
        <v>0</v>
      </c>
      <c r="K350" s="14">
        <f>K321*K308*'Data inputs'!$C21</f>
        <v>0</v>
      </c>
      <c r="L350" s="5">
        <f t="shared" si="335"/>
        <v>0</v>
      </c>
    </row>
    <row r="351" spans="1:12" x14ac:dyDescent="0.25">
      <c r="A351" s="4" t="s">
        <v>37</v>
      </c>
      <c r="B351" s="14">
        <f>B322*B309*'Data inputs'!$C22</f>
        <v>11028053.662750002</v>
      </c>
      <c r="C351" s="14">
        <f>C322*C309*'Data inputs'!$C22</f>
        <v>11028053.662750002</v>
      </c>
      <c r="D351" s="14">
        <f>D322*D309*'Data inputs'!$C22</f>
        <v>11028053.662750002</v>
      </c>
      <c r="E351" s="14">
        <f>E322*E309*'Data inputs'!$C22</f>
        <v>11028053.662750002</v>
      </c>
      <c r="F351" s="14">
        <f>F322*F309*'Data inputs'!$C22</f>
        <v>11028053.662750002</v>
      </c>
      <c r="G351" s="14">
        <f>G322*G309*'Data inputs'!$C22</f>
        <v>11028053.662750002</v>
      </c>
      <c r="H351" s="14">
        <f>H322*H309*'Data inputs'!$C22</f>
        <v>11028053.662750002</v>
      </c>
      <c r="I351" s="14">
        <f>I322*I309*'Data inputs'!$C22</f>
        <v>11028053.662750002</v>
      </c>
      <c r="J351" s="14">
        <f>J322*J309*'Data inputs'!$C22</f>
        <v>11028053.662750002</v>
      </c>
      <c r="K351" s="14">
        <f>K322*K309*'Data inputs'!$C22</f>
        <v>11028053.662750002</v>
      </c>
      <c r="L351" s="5">
        <f t="shared" si="335"/>
        <v>11028053.662750004</v>
      </c>
    </row>
    <row r="352" spans="1:12" x14ac:dyDescent="0.25">
      <c r="A352" s="4" t="s">
        <v>38</v>
      </c>
      <c r="B352" s="14">
        <f>B323*B310*'Data inputs'!$C23</f>
        <v>0</v>
      </c>
      <c r="C352" s="14">
        <f>C323*C310*'Data inputs'!$C23</f>
        <v>0</v>
      </c>
      <c r="D352" s="14">
        <f>D323*D310*'Data inputs'!$C23</f>
        <v>0</v>
      </c>
      <c r="E352" s="14">
        <f>E323*E310*'Data inputs'!$C23</f>
        <v>0</v>
      </c>
      <c r="F352" s="14">
        <f>F323*F310*'Data inputs'!$C23</f>
        <v>0</v>
      </c>
      <c r="G352" s="14">
        <f>G323*G310*'Data inputs'!$C23</f>
        <v>0</v>
      </c>
      <c r="H352" s="14">
        <f>H323*H310*'Data inputs'!$C23</f>
        <v>0</v>
      </c>
      <c r="I352" s="14">
        <f>I323*I310*'Data inputs'!$C23</f>
        <v>0</v>
      </c>
      <c r="J352" s="14">
        <f>J323*J310*'Data inputs'!$C23</f>
        <v>0</v>
      </c>
      <c r="K352" s="14">
        <f>K323*K310*'Data inputs'!$C23</f>
        <v>0</v>
      </c>
      <c r="L352" s="5">
        <f t="shared" si="335"/>
        <v>0</v>
      </c>
    </row>
    <row r="353" spans="1:12" x14ac:dyDescent="0.25">
      <c r="A353" s="4" t="s">
        <v>15</v>
      </c>
      <c r="B353" s="60">
        <f>B324*B311*'Data inputs'!$C24</f>
        <v>7246450.7790000001</v>
      </c>
      <c r="C353" s="60">
        <f>C324*C311*'Data inputs'!$C24</f>
        <v>7246450.7790000001</v>
      </c>
      <c r="D353" s="60">
        <f>D324*D311*'Data inputs'!$C24</f>
        <v>7246450.7790000001</v>
      </c>
      <c r="E353" s="60">
        <f>E324*E311*'Data inputs'!$C24</f>
        <v>7246450.7790000001</v>
      </c>
      <c r="F353" s="60">
        <f>F324*F311*'Data inputs'!$C24</f>
        <v>7246450.7790000001</v>
      </c>
      <c r="G353" s="60">
        <f>G324*G311*'Data inputs'!$C24</f>
        <v>7246450.7790000001</v>
      </c>
      <c r="H353" s="60">
        <f>H324*H311*'Data inputs'!$C24</f>
        <v>7246450.7790000001</v>
      </c>
      <c r="I353" s="60">
        <f>I324*I311*'Data inputs'!$C24</f>
        <v>7246450.7790000001</v>
      </c>
      <c r="J353" s="60">
        <f>J324*J311*'Data inputs'!$C24</f>
        <v>7246450.7790000001</v>
      </c>
      <c r="K353" s="60">
        <f>K324*K311*'Data inputs'!$C24</f>
        <v>7246450.7790000001</v>
      </c>
      <c r="L353" s="13">
        <f t="shared" si="335"/>
        <v>7246450.779000001</v>
      </c>
    </row>
    <row r="354" spans="1:12" x14ac:dyDescent="0.25">
      <c r="B354" s="14">
        <f>SUM(B343:B353)</f>
        <v>25446755.180900004</v>
      </c>
      <c r="C354" s="14">
        <f t="shared" ref="C354" si="336">SUM(C343:C353)</f>
        <v>25446755.180900004</v>
      </c>
      <c r="D354" s="14">
        <f t="shared" ref="D354" si="337">SUM(D343:D353)</f>
        <v>25446755.180900004</v>
      </c>
      <c r="E354" s="14">
        <f t="shared" ref="E354" si="338">SUM(E343:E353)</f>
        <v>25446755.180900004</v>
      </c>
      <c r="F354" s="14">
        <f t="shared" ref="F354" si="339">SUM(F343:F353)</f>
        <v>25446755.180900004</v>
      </c>
      <c r="G354" s="14">
        <f t="shared" ref="G354" si="340">SUM(G343:G353)</f>
        <v>25446755.180900004</v>
      </c>
      <c r="H354" s="14">
        <f t="shared" ref="H354" si="341">SUM(H343:H353)</f>
        <v>25446755.180900004</v>
      </c>
      <c r="I354" s="14">
        <f t="shared" ref="I354" si="342">SUM(I343:I353)</f>
        <v>25446755.180900004</v>
      </c>
      <c r="J354" s="14">
        <f t="shared" ref="J354" si="343">SUM(J343:J353)</f>
        <v>25446755.180900004</v>
      </c>
      <c r="K354" s="14">
        <f t="shared" ref="K354" si="344">SUM(K343:K353)</f>
        <v>25446755.180900004</v>
      </c>
      <c r="L354" s="5">
        <f t="shared" si="335"/>
        <v>25446755.180900004</v>
      </c>
    </row>
    <row r="355" spans="1:12" x14ac:dyDescent="0.25">
      <c r="B355" s="16">
        <f>B354/B$325</f>
        <v>0.26259535222507868</v>
      </c>
      <c r="C355" s="16">
        <f t="shared" ref="C355" si="345">C354/C$325</f>
        <v>0.26259535222507868</v>
      </c>
      <c r="D355" s="16">
        <f t="shared" ref="D355" si="346">D354/D$325</f>
        <v>0.26259535222507868</v>
      </c>
      <c r="E355" s="16">
        <f t="shared" ref="E355" si="347">E354/E$325</f>
        <v>0.26259535222507868</v>
      </c>
      <c r="F355" s="16">
        <f t="shared" ref="F355" si="348">F354/F$325</f>
        <v>0.26259535222507868</v>
      </c>
      <c r="G355" s="16">
        <f t="shared" ref="G355" si="349">G354/G$325</f>
        <v>0.26259535222507868</v>
      </c>
      <c r="H355" s="16">
        <f t="shared" ref="H355" si="350">H354/H$325</f>
        <v>0.26259535222507868</v>
      </c>
      <c r="I355" s="16">
        <f t="shared" ref="I355" si="351">I354/I$325</f>
        <v>0.26259535222507868</v>
      </c>
      <c r="J355" s="16">
        <f t="shared" ref="J355" si="352">J354/J$325</f>
        <v>0.26259535222507868</v>
      </c>
      <c r="K355" s="16">
        <f>K354/K$325</f>
        <v>0.26259535222507868</v>
      </c>
    </row>
    <row r="356" spans="1:12" x14ac:dyDescent="0.25">
      <c r="A356" s="61" t="s">
        <v>58</v>
      </c>
      <c r="B356" s="18"/>
      <c r="C356" s="48"/>
      <c r="D356" s="48"/>
      <c r="E356" s="48"/>
      <c r="F356" s="48"/>
      <c r="G356" s="48"/>
      <c r="H356" s="48"/>
      <c r="I356" s="48"/>
      <c r="J356" s="48"/>
      <c r="K356" s="48"/>
    </row>
    <row r="357" spans="1:12" x14ac:dyDescent="0.25">
      <c r="A357" s="20" t="s">
        <v>35</v>
      </c>
      <c r="B357" s="5">
        <f t="shared" ref="B357:B367" si="353">(B343+B328)/2</f>
        <v>7302177.4711500006</v>
      </c>
      <c r="C357" s="5">
        <f t="shared" ref="C357:K357" si="354">(C343+C328)/2</f>
        <v>7302177.4711500006</v>
      </c>
      <c r="D357" s="5">
        <f t="shared" si="354"/>
        <v>7302177.4711500006</v>
      </c>
      <c r="E357" s="5">
        <f t="shared" si="354"/>
        <v>7302177.4711500006</v>
      </c>
      <c r="F357" s="5">
        <f t="shared" si="354"/>
        <v>7302177.4711500006</v>
      </c>
      <c r="G357" s="5">
        <f t="shared" si="354"/>
        <v>7302177.4711500006</v>
      </c>
      <c r="H357" s="5">
        <f t="shared" si="354"/>
        <v>7302177.4711500006</v>
      </c>
      <c r="I357" s="5">
        <f t="shared" si="354"/>
        <v>7302177.4711500006</v>
      </c>
      <c r="J357" s="5">
        <f t="shared" si="354"/>
        <v>7302177.4711500006</v>
      </c>
      <c r="K357" s="5">
        <f t="shared" si="354"/>
        <v>7302177.4711500006</v>
      </c>
    </row>
    <row r="358" spans="1:12" x14ac:dyDescent="0.25">
      <c r="A358" s="20" t="s">
        <v>36</v>
      </c>
      <c r="B358" s="5">
        <f t="shared" si="353"/>
        <v>1319901.0050000001</v>
      </c>
      <c r="C358" s="5">
        <f t="shared" ref="C358:K358" si="355">(C344+C329)/2</f>
        <v>1319901.0050000001</v>
      </c>
      <c r="D358" s="5">
        <f t="shared" si="355"/>
        <v>1319901.0050000001</v>
      </c>
      <c r="E358" s="5">
        <f t="shared" si="355"/>
        <v>1319901.0050000001</v>
      </c>
      <c r="F358" s="5">
        <f t="shared" si="355"/>
        <v>1319901.0050000001</v>
      </c>
      <c r="G358" s="5">
        <f t="shared" si="355"/>
        <v>1319901.0050000001</v>
      </c>
      <c r="H358" s="5">
        <f t="shared" si="355"/>
        <v>1319901.0050000001</v>
      </c>
      <c r="I358" s="5">
        <f t="shared" si="355"/>
        <v>1319901.0050000001</v>
      </c>
      <c r="J358" s="5">
        <f t="shared" si="355"/>
        <v>1319901.0050000001</v>
      </c>
      <c r="K358" s="5">
        <f t="shared" si="355"/>
        <v>1319901.0050000001</v>
      </c>
    </row>
    <row r="359" spans="1:12" x14ac:dyDescent="0.25">
      <c r="A359" s="20" t="s">
        <v>11</v>
      </c>
      <c r="B359" s="5">
        <f t="shared" si="353"/>
        <v>0</v>
      </c>
      <c r="C359" s="5">
        <f t="shared" ref="C359:K359" si="356">(C345+C330)/2</f>
        <v>0</v>
      </c>
      <c r="D359" s="5">
        <f t="shared" si="356"/>
        <v>0</v>
      </c>
      <c r="E359" s="5">
        <f t="shared" si="356"/>
        <v>0</v>
      </c>
      <c r="F359" s="5">
        <f t="shared" si="356"/>
        <v>0</v>
      </c>
      <c r="G359" s="5">
        <f t="shared" si="356"/>
        <v>0</v>
      </c>
      <c r="H359" s="5">
        <f t="shared" si="356"/>
        <v>0</v>
      </c>
      <c r="I359" s="5">
        <f t="shared" si="356"/>
        <v>0</v>
      </c>
      <c r="J359" s="5">
        <f t="shared" si="356"/>
        <v>0</v>
      </c>
      <c r="K359" s="5">
        <f t="shared" si="356"/>
        <v>0</v>
      </c>
    </row>
    <row r="360" spans="1:12" x14ac:dyDescent="0.25">
      <c r="A360" s="20" t="s">
        <v>124</v>
      </c>
      <c r="B360" s="5">
        <f t="shared" si="353"/>
        <v>350000</v>
      </c>
      <c r="C360" s="5">
        <f t="shared" ref="C360:K360" si="357">(C346+C331)/2</f>
        <v>350000</v>
      </c>
      <c r="D360" s="5">
        <f t="shared" si="357"/>
        <v>350000</v>
      </c>
      <c r="E360" s="5">
        <f t="shared" si="357"/>
        <v>350000</v>
      </c>
      <c r="F360" s="5">
        <f t="shared" si="357"/>
        <v>350000</v>
      </c>
      <c r="G360" s="5">
        <f t="shared" si="357"/>
        <v>350000</v>
      </c>
      <c r="H360" s="5">
        <f t="shared" si="357"/>
        <v>350000</v>
      </c>
      <c r="I360" s="5">
        <f t="shared" si="357"/>
        <v>350000</v>
      </c>
      <c r="J360" s="5">
        <f t="shared" si="357"/>
        <v>350000</v>
      </c>
      <c r="K360" s="5">
        <f t="shared" si="357"/>
        <v>350000</v>
      </c>
    </row>
    <row r="361" spans="1:12" x14ac:dyDescent="0.25">
      <c r="A361" s="20" t="s">
        <v>12</v>
      </c>
      <c r="B361" s="5">
        <f t="shared" si="353"/>
        <v>756758.03416666668</v>
      </c>
      <c r="C361" s="5">
        <f t="shared" ref="C361:K361" si="358">(C347+C332)/2</f>
        <v>756758.03416666668</v>
      </c>
      <c r="D361" s="5">
        <f t="shared" si="358"/>
        <v>756758.03416666668</v>
      </c>
      <c r="E361" s="5">
        <f t="shared" si="358"/>
        <v>756758.03416666668</v>
      </c>
      <c r="F361" s="5">
        <f t="shared" si="358"/>
        <v>756758.03416666668</v>
      </c>
      <c r="G361" s="5">
        <f t="shared" si="358"/>
        <v>756758.03416666668</v>
      </c>
      <c r="H361" s="5">
        <f t="shared" si="358"/>
        <v>756758.03416666668</v>
      </c>
      <c r="I361" s="5">
        <f t="shared" si="358"/>
        <v>756758.03416666668</v>
      </c>
      <c r="J361" s="5">
        <f t="shared" si="358"/>
        <v>756758.03416666668</v>
      </c>
      <c r="K361" s="5">
        <f t="shared" si="358"/>
        <v>756758.03416666668</v>
      </c>
    </row>
    <row r="362" spans="1:12" x14ac:dyDescent="0.25">
      <c r="A362" s="20" t="s">
        <v>13</v>
      </c>
      <c r="B362" s="5">
        <f t="shared" si="353"/>
        <v>0</v>
      </c>
      <c r="C362" s="5">
        <f t="shared" ref="C362:K362" si="359">(C348+C333)/2</f>
        <v>0</v>
      </c>
      <c r="D362" s="5">
        <f t="shared" si="359"/>
        <v>0</v>
      </c>
      <c r="E362" s="5">
        <f t="shared" si="359"/>
        <v>0</v>
      </c>
      <c r="F362" s="5">
        <f t="shared" si="359"/>
        <v>0</v>
      </c>
      <c r="G362" s="5">
        <f t="shared" si="359"/>
        <v>0</v>
      </c>
      <c r="H362" s="5">
        <f t="shared" si="359"/>
        <v>0</v>
      </c>
      <c r="I362" s="5">
        <f t="shared" si="359"/>
        <v>0</v>
      </c>
      <c r="J362" s="5">
        <f t="shared" si="359"/>
        <v>0</v>
      </c>
      <c r="K362" s="5">
        <f t="shared" si="359"/>
        <v>0</v>
      </c>
    </row>
    <row r="363" spans="1:12" x14ac:dyDescent="0.25">
      <c r="A363" s="20" t="s">
        <v>14</v>
      </c>
      <c r="B363" s="5">
        <f t="shared" si="353"/>
        <v>0</v>
      </c>
      <c r="C363" s="5">
        <f t="shared" ref="C363:K363" si="360">(C349+C334)/2</f>
        <v>0</v>
      </c>
      <c r="D363" s="5">
        <f t="shared" si="360"/>
        <v>0</v>
      </c>
      <c r="E363" s="5">
        <f t="shared" si="360"/>
        <v>0</v>
      </c>
      <c r="F363" s="5">
        <f t="shared" si="360"/>
        <v>0</v>
      </c>
      <c r="G363" s="5">
        <f t="shared" si="360"/>
        <v>0</v>
      </c>
      <c r="H363" s="5">
        <f t="shared" si="360"/>
        <v>0</v>
      </c>
      <c r="I363" s="5">
        <f t="shared" si="360"/>
        <v>0</v>
      </c>
      <c r="J363" s="5">
        <f t="shared" si="360"/>
        <v>0</v>
      </c>
      <c r="K363" s="5">
        <f t="shared" si="360"/>
        <v>0</v>
      </c>
    </row>
    <row r="364" spans="1:12" x14ac:dyDescent="0.25">
      <c r="A364" s="20" t="s">
        <v>125</v>
      </c>
      <c r="B364" s="5">
        <f t="shared" si="353"/>
        <v>0</v>
      </c>
      <c r="C364" s="5">
        <f t="shared" ref="C364:K364" si="361">(C350+C335)/2</f>
        <v>0</v>
      </c>
      <c r="D364" s="5">
        <f t="shared" si="361"/>
        <v>0</v>
      </c>
      <c r="E364" s="5">
        <f t="shared" si="361"/>
        <v>0</v>
      </c>
      <c r="F364" s="5">
        <f t="shared" si="361"/>
        <v>0</v>
      </c>
      <c r="G364" s="5">
        <f t="shared" si="361"/>
        <v>0</v>
      </c>
      <c r="H364" s="5">
        <f t="shared" si="361"/>
        <v>0</v>
      </c>
      <c r="I364" s="5">
        <f t="shared" si="361"/>
        <v>0</v>
      </c>
      <c r="J364" s="5">
        <f t="shared" si="361"/>
        <v>0</v>
      </c>
      <c r="K364" s="5">
        <f t="shared" si="361"/>
        <v>0</v>
      </c>
    </row>
    <row r="365" spans="1:12" x14ac:dyDescent="0.25">
      <c r="A365" s="20" t="s">
        <v>37</v>
      </c>
      <c r="B365" s="5">
        <f t="shared" si="353"/>
        <v>13592717.30525</v>
      </c>
      <c r="C365" s="5">
        <f t="shared" ref="C365:K365" si="362">(C351+C336)/2</f>
        <v>13592717.30525</v>
      </c>
      <c r="D365" s="5">
        <f t="shared" si="362"/>
        <v>13592717.30525</v>
      </c>
      <c r="E365" s="5">
        <f t="shared" si="362"/>
        <v>13592717.30525</v>
      </c>
      <c r="F365" s="5">
        <f t="shared" si="362"/>
        <v>13592717.30525</v>
      </c>
      <c r="G365" s="5">
        <f t="shared" si="362"/>
        <v>13592717.30525</v>
      </c>
      <c r="H365" s="5">
        <f t="shared" si="362"/>
        <v>13592717.30525</v>
      </c>
      <c r="I365" s="5">
        <f t="shared" si="362"/>
        <v>13592717.30525</v>
      </c>
      <c r="J365" s="5">
        <f t="shared" si="362"/>
        <v>13592717.30525</v>
      </c>
      <c r="K365" s="5">
        <f t="shared" si="362"/>
        <v>13592717.30525</v>
      </c>
    </row>
    <row r="366" spans="1:12" x14ac:dyDescent="0.25">
      <c r="A366" s="20" t="s">
        <v>38</v>
      </c>
      <c r="B366" s="5">
        <f t="shared" si="353"/>
        <v>94624.551000000021</v>
      </c>
      <c r="C366" s="5">
        <f t="shared" ref="C366:K366" si="363">(C352+C337)/2</f>
        <v>94624.551000000021</v>
      </c>
      <c r="D366" s="5">
        <f t="shared" si="363"/>
        <v>94624.551000000021</v>
      </c>
      <c r="E366" s="5">
        <f t="shared" si="363"/>
        <v>94624.551000000021</v>
      </c>
      <c r="F366" s="5">
        <f t="shared" si="363"/>
        <v>94624.551000000021</v>
      </c>
      <c r="G366" s="5">
        <f t="shared" si="363"/>
        <v>94624.551000000021</v>
      </c>
      <c r="H366" s="5">
        <f t="shared" si="363"/>
        <v>94624.551000000021</v>
      </c>
      <c r="I366" s="5">
        <f t="shared" si="363"/>
        <v>94624.551000000021</v>
      </c>
      <c r="J366" s="5">
        <f t="shared" si="363"/>
        <v>94624.551000000021</v>
      </c>
      <c r="K366" s="5">
        <f t="shared" si="363"/>
        <v>94624.551000000021</v>
      </c>
    </row>
    <row r="367" spans="1:12" x14ac:dyDescent="0.25">
      <c r="A367" s="20" t="s">
        <v>15</v>
      </c>
      <c r="B367" s="13">
        <f t="shared" si="353"/>
        <v>10869676.168500001</v>
      </c>
      <c r="C367" s="13">
        <f t="shared" ref="C367:K367" si="364">(C353+C338)/2</f>
        <v>10869676.168500001</v>
      </c>
      <c r="D367" s="13">
        <f t="shared" si="364"/>
        <v>10869676.168500001</v>
      </c>
      <c r="E367" s="13">
        <f t="shared" si="364"/>
        <v>10869676.168500001</v>
      </c>
      <c r="F367" s="13">
        <f t="shared" si="364"/>
        <v>10869676.168500001</v>
      </c>
      <c r="G367" s="13">
        <f t="shared" si="364"/>
        <v>10869676.168500001</v>
      </c>
      <c r="H367" s="13">
        <f t="shared" si="364"/>
        <v>10869676.168500001</v>
      </c>
      <c r="I367" s="13">
        <f t="shared" si="364"/>
        <v>10869676.168500001</v>
      </c>
      <c r="J367" s="13">
        <f t="shared" si="364"/>
        <v>10869676.168500001</v>
      </c>
      <c r="K367" s="13">
        <f t="shared" si="364"/>
        <v>10869676.168500001</v>
      </c>
    </row>
    <row r="368" spans="1:12" x14ac:dyDescent="0.25">
      <c r="A368" s="5"/>
      <c r="B368" s="5">
        <f t="shared" ref="B368:K368" si="365">SUM(B357:B367)</f>
        <v>34285854.535066664</v>
      </c>
      <c r="C368" s="5">
        <f t="shared" si="365"/>
        <v>34285854.535066664</v>
      </c>
      <c r="D368" s="5">
        <f t="shared" si="365"/>
        <v>34285854.535066664</v>
      </c>
      <c r="E368" s="5">
        <f t="shared" si="365"/>
        <v>34285854.535066664</v>
      </c>
      <c r="F368" s="5">
        <f t="shared" si="365"/>
        <v>34285854.535066664</v>
      </c>
      <c r="G368" s="5">
        <f t="shared" si="365"/>
        <v>34285854.535066664</v>
      </c>
      <c r="H368" s="5">
        <f t="shared" si="365"/>
        <v>34285854.535066664</v>
      </c>
      <c r="I368" s="5">
        <f t="shared" si="365"/>
        <v>34285854.535066664</v>
      </c>
      <c r="J368" s="5">
        <f t="shared" si="365"/>
        <v>34285854.535066664</v>
      </c>
      <c r="K368" s="5">
        <f t="shared" si="365"/>
        <v>34285854.535066664</v>
      </c>
    </row>
    <row r="369" spans="1:12" x14ac:dyDescent="0.25">
      <c r="B369" s="16">
        <f>B368/B$325</f>
        <v>0.35380959120208</v>
      </c>
      <c r="C369" s="16">
        <f t="shared" ref="C369" si="366">C368/C$325</f>
        <v>0.35380959120208</v>
      </c>
      <c r="D369" s="16">
        <f t="shared" ref="D369" si="367">D368/D$325</f>
        <v>0.35380959120208</v>
      </c>
      <c r="E369" s="16">
        <f t="shared" ref="E369" si="368">E368/E$325</f>
        <v>0.35380959120208</v>
      </c>
      <c r="F369" s="16">
        <f t="shared" ref="F369" si="369">F368/F$325</f>
        <v>0.35380959120208</v>
      </c>
      <c r="G369" s="16">
        <f t="shared" ref="G369" si="370">G368/G$325</f>
        <v>0.35380959120208</v>
      </c>
      <c r="H369" s="16">
        <f t="shared" ref="H369" si="371">H368/H$325</f>
        <v>0.35380959120208</v>
      </c>
      <c r="I369" s="16">
        <f t="shared" ref="I369" si="372">I368/I$325</f>
        <v>0.35380959120208</v>
      </c>
      <c r="J369" s="16">
        <f t="shared" ref="J369" si="373">J368/J$325</f>
        <v>0.35380959120208</v>
      </c>
      <c r="K369" s="16">
        <f>K368/K$325</f>
        <v>0.35380959120208</v>
      </c>
    </row>
    <row r="370" spans="1:12" s="3" customFormat="1" x14ac:dyDescent="0.25">
      <c r="A370" s="2" t="s">
        <v>34</v>
      </c>
    </row>
    <row r="371" spans="1:12" x14ac:dyDescent="0.25">
      <c r="B371" s="12" t="str">
        <f>'Summary dashboard'!C4</f>
        <v>2023</v>
      </c>
      <c r="C371" s="12">
        <f>B371+1</f>
        <v>2024</v>
      </c>
      <c r="D371" s="12">
        <f t="shared" ref="D371" si="374">C371+1</f>
        <v>2025</v>
      </c>
      <c r="E371" s="12">
        <f t="shared" ref="E371" si="375">D371+1</f>
        <v>2026</v>
      </c>
      <c r="F371" s="12">
        <f t="shared" ref="F371" si="376">E371+1</f>
        <v>2027</v>
      </c>
      <c r="G371" s="12">
        <f t="shared" ref="G371" si="377">F371+1</f>
        <v>2028</v>
      </c>
      <c r="H371" s="12">
        <f t="shared" ref="H371" si="378">G371+1</f>
        <v>2029</v>
      </c>
      <c r="I371" s="12">
        <f t="shared" ref="I371" si="379">H371+1</f>
        <v>2030</v>
      </c>
      <c r="J371" s="12">
        <f t="shared" ref="J371" si="380">I371+1</f>
        <v>2031</v>
      </c>
      <c r="K371" s="12">
        <f>J371+1</f>
        <v>2032</v>
      </c>
    </row>
    <row r="372" spans="1:12" x14ac:dyDescent="0.25">
      <c r="A372" s="4" t="s">
        <v>35</v>
      </c>
      <c r="B372" s="16">
        <f>'Breede-Olifants CMA'!B31</f>
        <v>1</v>
      </c>
      <c r="C372" s="16">
        <f>'Breede-Olifants CMA'!C31</f>
        <v>1</v>
      </c>
      <c r="D372" s="16">
        <f>'Breede-Olifants CMA'!D31</f>
        <v>1</v>
      </c>
      <c r="E372" s="16">
        <f>'Breede-Olifants CMA'!E31</f>
        <v>1</v>
      </c>
      <c r="F372" s="16">
        <f>'Breede-Olifants CMA'!F31</f>
        <v>1</v>
      </c>
      <c r="G372" s="16">
        <f>'Breede-Olifants CMA'!G31</f>
        <v>1</v>
      </c>
      <c r="H372" s="16">
        <f>'Breede-Olifants CMA'!H31</f>
        <v>1</v>
      </c>
      <c r="I372" s="16">
        <f>'Breede-Olifants CMA'!I31</f>
        <v>1</v>
      </c>
      <c r="J372" s="16">
        <f>'Breede-Olifants CMA'!J31</f>
        <v>1</v>
      </c>
      <c r="K372" s="16">
        <f>'Breede-Olifants CMA'!K31</f>
        <v>1</v>
      </c>
    </row>
    <row r="373" spans="1:12" x14ac:dyDescent="0.25">
      <c r="A373" s="4" t="s">
        <v>36</v>
      </c>
      <c r="B373" s="16">
        <f>'Breede-Olifants CMA'!B32</f>
        <v>1</v>
      </c>
      <c r="C373" s="16">
        <f>'Breede-Olifants CMA'!C32</f>
        <v>1</v>
      </c>
      <c r="D373" s="16">
        <f>'Breede-Olifants CMA'!D32</f>
        <v>1</v>
      </c>
      <c r="E373" s="16">
        <f>'Breede-Olifants CMA'!E32</f>
        <v>1</v>
      </c>
      <c r="F373" s="16">
        <f>'Breede-Olifants CMA'!F32</f>
        <v>1</v>
      </c>
      <c r="G373" s="16">
        <f>'Breede-Olifants CMA'!G32</f>
        <v>1</v>
      </c>
      <c r="H373" s="16">
        <f>'Breede-Olifants CMA'!H32</f>
        <v>1</v>
      </c>
      <c r="I373" s="16">
        <f>'Breede-Olifants CMA'!I32</f>
        <v>1</v>
      </c>
      <c r="J373" s="16">
        <f>'Breede-Olifants CMA'!J32</f>
        <v>1</v>
      </c>
      <c r="K373" s="16">
        <f>'Breede-Olifants CMA'!K32</f>
        <v>1</v>
      </c>
    </row>
    <row r="374" spans="1:12" x14ac:dyDescent="0.25">
      <c r="A374" s="4" t="s">
        <v>11</v>
      </c>
      <c r="B374" s="16">
        <f>'Breede-Olifants CMA'!B33</f>
        <v>1</v>
      </c>
      <c r="C374" s="16">
        <f>'Breede-Olifants CMA'!C33</f>
        <v>1</v>
      </c>
      <c r="D374" s="16">
        <f>'Breede-Olifants CMA'!D33</f>
        <v>1</v>
      </c>
      <c r="E374" s="16">
        <f>'Breede-Olifants CMA'!E33</f>
        <v>1</v>
      </c>
      <c r="F374" s="16">
        <f>'Breede-Olifants CMA'!F33</f>
        <v>1</v>
      </c>
      <c r="G374" s="16">
        <f>'Breede-Olifants CMA'!G33</f>
        <v>1</v>
      </c>
      <c r="H374" s="16">
        <f>'Breede-Olifants CMA'!H33</f>
        <v>1</v>
      </c>
      <c r="I374" s="16">
        <f>'Breede-Olifants CMA'!I33</f>
        <v>1</v>
      </c>
      <c r="J374" s="16">
        <f>'Breede-Olifants CMA'!J33</f>
        <v>1</v>
      </c>
      <c r="K374" s="16">
        <f>'Breede-Olifants CMA'!K33</f>
        <v>1</v>
      </c>
    </row>
    <row r="375" spans="1:12" x14ac:dyDescent="0.25">
      <c r="A375" s="4" t="s">
        <v>124</v>
      </c>
      <c r="B375" s="16">
        <f>'Breede-Olifants CMA'!B34</f>
        <v>1</v>
      </c>
      <c r="C375" s="16">
        <f>'Breede-Olifants CMA'!C34</f>
        <v>1</v>
      </c>
      <c r="D375" s="16">
        <f>'Breede-Olifants CMA'!D34</f>
        <v>1</v>
      </c>
      <c r="E375" s="16">
        <f>'Breede-Olifants CMA'!E34</f>
        <v>1</v>
      </c>
      <c r="F375" s="16">
        <f>'Breede-Olifants CMA'!F34</f>
        <v>1</v>
      </c>
      <c r="G375" s="16">
        <f>'Breede-Olifants CMA'!G34</f>
        <v>1</v>
      </c>
      <c r="H375" s="16">
        <f>'Breede-Olifants CMA'!H34</f>
        <v>1</v>
      </c>
      <c r="I375" s="16">
        <f>'Breede-Olifants CMA'!I34</f>
        <v>1</v>
      </c>
      <c r="J375" s="16">
        <f>'Breede-Olifants CMA'!J34</f>
        <v>1</v>
      </c>
      <c r="K375" s="16">
        <f>'Breede-Olifants CMA'!K34</f>
        <v>1</v>
      </c>
    </row>
    <row r="376" spans="1:12" x14ac:dyDescent="0.25">
      <c r="A376" s="4" t="s">
        <v>12</v>
      </c>
      <c r="B376" s="16">
        <f>'Breede-Olifants CMA'!B35</f>
        <v>1</v>
      </c>
      <c r="C376" s="16">
        <f>'Breede-Olifants CMA'!C35</f>
        <v>1</v>
      </c>
      <c r="D376" s="16">
        <f>'Breede-Olifants CMA'!D35</f>
        <v>1</v>
      </c>
      <c r="E376" s="16">
        <f>'Breede-Olifants CMA'!E35</f>
        <v>1</v>
      </c>
      <c r="F376" s="16">
        <f>'Breede-Olifants CMA'!F35</f>
        <v>1</v>
      </c>
      <c r="G376" s="16">
        <f>'Breede-Olifants CMA'!G35</f>
        <v>1</v>
      </c>
      <c r="H376" s="16">
        <f>'Breede-Olifants CMA'!H35</f>
        <v>1</v>
      </c>
      <c r="I376" s="16">
        <f>'Breede-Olifants CMA'!I35</f>
        <v>1</v>
      </c>
      <c r="J376" s="16">
        <f>'Breede-Olifants CMA'!J35</f>
        <v>1</v>
      </c>
      <c r="K376" s="16">
        <f>'Breede-Olifants CMA'!K35</f>
        <v>1</v>
      </c>
    </row>
    <row r="377" spans="1:12" x14ac:dyDescent="0.25">
      <c r="A377" s="4" t="s">
        <v>13</v>
      </c>
      <c r="B377" s="16">
        <f>'Breede-Olifants CMA'!B36</f>
        <v>1</v>
      </c>
      <c r="C377" s="16">
        <f>'Breede-Olifants CMA'!C36</f>
        <v>1</v>
      </c>
      <c r="D377" s="16">
        <f>'Breede-Olifants CMA'!D36</f>
        <v>1</v>
      </c>
      <c r="E377" s="16">
        <f>'Breede-Olifants CMA'!E36</f>
        <v>1</v>
      </c>
      <c r="F377" s="16">
        <f>'Breede-Olifants CMA'!F36</f>
        <v>1</v>
      </c>
      <c r="G377" s="16">
        <f>'Breede-Olifants CMA'!G36</f>
        <v>1</v>
      </c>
      <c r="H377" s="16">
        <f>'Breede-Olifants CMA'!H36</f>
        <v>1</v>
      </c>
      <c r="I377" s="16">
        <f>'Breede-Olifants CMA'!I36</f>
        <v>1</v>
      </c>
      <c r="J377" s="16">
        <f>'Breede-Olifants CMA'!J36</f>
        <v>1</v>
      </c>
      <c r="K377" s="16">
        <f>'Breede-Olifants CMA'!K36</f>
        <v>1</v>
      </c>
    </row>
    <row r="378" spans="1:12" x14ac:dyDescent="0.25">
      <c r="A378" s="4" t="s">
        <v>14</v>
      </c>
      <c r="B378" s="16">
        <f>'Breede-Olifants CMA'!B37</f>
        <v>1</v>
      </c>
      <c r="C378" s="16">
        <f>'Breede-Olifants CMA'!C37</f>
        <v>1</v>
      </c>
      <c r="D378" s="16">
        <f>'Breede-Olifants CMA'!D37</f>
        <v>1</v>
      </c>
      <c r="E378" s="16">
        <f>'Breede-Olifants CMA'!E37</f>
        <v>1</v>
      </c>
      <c r="F378" s="16">
        <f>'Breede-Olifants CMA'!F37</f>
        <v>1</v>
      </c>
      <c r="G378" s="16">
        <f>'Breede-Olifants CMA'!G37</f>
        <v>1</v>
      </c>
      <c r="H378" s="16">
        <f>'Breede-Olifants CMA'!H37</f>
        <v>1</v>
      </c>
      <c r="I378" s="16">
        <f>'Breede-Olifants CMA'!I37</f>
        <v>1</v>
      </c>
      <c r="J378" s="16">
        <f>'Breede-Olifants CMA'!J37</f>
        <v>1</v>
      </c>
      <c r="K378" s="16">
        <f>'Breede-Olifants CMA'!K37</f>
        <v>1</v>
      </c>
    </row>
    <row r="379" spans="1:12" x14ac:dyDescent="0.25">
      <c r="A379" s="4" t="s">
        <v>125</v>
      </c>
      <c r="B379" s="16">
        <f>'Breede-Olifants CMA'!B38</f>
        <v>1</v>
      </c>
      <c r="C379" s="16">
        <f>'Breede-Olifants CMA'!C38</f>
        <v>1</v>
      </c>
      <c r="D379" s="16">
        <f>'Breede-Olifants CMA'!D38</f>
        <v>1</v>
      </c>
      <c r="E379" s="16">
        <f>'Breede-Olifants CMA'!E38</f>
        <v>1</v>
      </c>
      <c r="F379" s="16">
        <f>'Breede-Olifants CMA'!F38</f>
        <v>1</v>
      </c>
      <c r="G379" s="16">
        <f>'Breede-Olifants CMA'!G38</f>
        <v>1</v>
      </c>
      <c r="H379" s="16">
        <f>'Breede-Olifants CMA'!H38</f>
        <v>1</v>
      </c>
      <c r="I379" s="16">
        <f>'Breede-Olifants CMA'!I38</f>
        <v>1</v>
      </c>
      <c r="J379" s="16">
        <f>'Breede-Olifants CMA'!J38</f>
        <v>1</v>
      </c>
      <c r="K379" s="16">
        <f>'Breede-Olifants CMA'!K38</f>
        <v>1</v>
      </c>
    </row>
    <row r="380" spans="1:12" x14ac:dyDescent="0.25">
      <c r="A380" s="4" t="s">
        <v>37</v>
      </c>
      <c r="B380" s="16">
        <f>'Breede-Olifants CMA'!B39</f>
        <v>1</v>
      </c>
      <c r="C380" s="16">
        <f>'Breede-Olifants CMA'!C39</f>
        <v>1</v>
      </c>
      <c r="D380" s="16">
        <f>'Breede-Olifants CMA'!D39</f>
        <v>1</v>
      </c>
      <c r="E380" s="16">
        <f>'Breede-Olifants CMA'!E39</f>
        <v>1</v>
      </c>
      <c r="F380" s="16">
        <f>'Breede-Olifants CMA'!F39</f>
        <v>1</v>
      </c>
      <c r="G380" s="16">
        <f>'Breede-Olifants CMA'!G39</f>
        <v>1</v>
      </c>
      <c r="H380" s="16">
        <f>'Breede-Olifants CMA'!H39</f>
        <v>1</v>
      </c>
      <c r="I380" s="16">
        <f>'Breede-Olifants CMA'!I39</f>
        <v>1</v>
      </c>
      <c r="J380" s="16">
        <f>'Breede-Olifants CMA'!J39</f>
        <v>1</v>
      </c>
      <c r="K380" s="16">
        <f>'Breede-Olifants CMA'!K39</f>
        <v>1</v>
      </c>
    </row>
    <row r="381" spans="1:12" x14ac:dyDescent="0.25">
      <c r="A381" s="4" t="s">
        <v>38</v>
      </c>
      <c r="B381" s="16">
        <f>'Breede-Olifants CMA'!B40</f>
        <v>1</v>
      </c>
      <c r="C381" s="16">
        <f>'Breede-Olifants CMA'!C40</f>
        <v>1</v>
      </c>
      <c r="D381" s="16">
        <f>'Breede-Olifants CMA'!D40</f>
        <v>1</v>
      </c>
      <c r="E381" s="16">
        <f>'Breede-Olifants CMA'!E40</f>
        <v>1</v>
      </c>
      <c r="F381" s="16">
        <f>'Breede-Olifants CMA'!F40</f>
        <v>1</v>
      </c>
      <c r="G381" s="16">
        <f>'Breede-Olifants CMA'!G40</f>
        <v>1</v>
      </c>
      <c r="H381" s="16">
        <f>'Breede-Olifants CMA'!H40</f>
        <v>1</v>
      </c>
      <c r="I381" s="16">
        <f>'Breede-Olifants CMA'!I40</f>
        <v>1</v>
      </c>
      <c r="J381" s="16">
        <f>'Breede-Olifants CMA'!J40</f>
        <v>1</v>
      </c>
      <c r="K381" s="16">
        <f>'Breede-Olifants CMA'!K40</f>
        <v>1</v>
      </c>
    </row>
    <row r="382" spans="1:12" x14ac:dyDescent="0.25">
      <c r="A382" s="4" t="s">
        <v>15</v>
      </c>
      <c r="B382" s="16">
        <f>'Breede-Olifants CMA'!B41</f>
        <v>1</v>
      </c>
      <c r="C382" s="16">
        <f>'Breede-Olifants CMA'!C41</f>
        <v>1</v>
      </c>
      <c r="D382" s="16">
        <f>'Breede-Olifants CMA'!D41</f>
        <v>1</v>
      </c>
      <c r="E382" s="16">
        <f>'Breede-Olifants CMA'!E41</f>
        <v>1</v>
      </c>
      <c r="F382" s="16">
        <f>'Breede-Olifants CMA'!F41</f>
        <v>1</v>
      </c>
      <c r="G382" s="16">
        <f>'Breede-Olifants CMA'!G41</f>
        <v>1</v>
      </c>
      <c r="H382" s="16">
        <f>'Breede-Olifants CMA'!H41</f>
        <v>1</v>
      </c>
      <c r="I382" s="16">
        <f>'Breede-Olifants CMA'!I41</f>
        <v>1</v>
      </c>
      <c r="J382" s="16">
        <f>'Breede-Olifants CMA'!J41</f>
        <v>1</v>
      </c>
      <c r="K382" s="16">
        <f>'Breede-Olifants CMA'!K41</f>
        <v>1</v>
      </c>
    </row>
    <row r="383" spans="1:12" x14ac:dyDescent="0.25">
      <c r="C383" s="6"/>
      <c r="D383" s="6"/>
      <c r="E383" s="6"/>
      <c r="F383" s="6"/>
      <c r="G383" s="6"/>
      <c r="H383" s="6"/>
      <c r="I383" s="6"/>
      <c r="J383" s="6"/>
      <c r="K383" s="6"/>
    </row>
    <row r="384" spans="1:12" x14ac:dyDescent="0.25">
      <c r="A384" s="1" t="s">
        <v>60</v>
      </c>
      <c r="B384" s="12" t="str">
        <f>'Summary dashboard'!C4</f>
        <v>2023</v>
      </c>
      <c r="C384" s="12">
        <f t="shared" ref="C384" si="381">B384+1</f>
        <v>2024</v>
      </c>
      <c r="D384" s="12">
        <f t="shared" ref="D384" si="382">C384+1</f>
        <v>2025</v>
      </c>
      <c r="E384" s="12">
        <f t="shared" ref="E384" si="383">D384+1</f>
        <v>2026</v>
      </c>
      <c r="F384" s="12">
        <f t="shared" ref="F384" si="384">E384+1</f>
        <v>2027</v>
      </c>
      <c r="G384" s="12">
        <f t="shared" ref="G384" si="385">F384+1</f>
        <v>2028</v>
      </c>
      <c r="H384" s="12">
        <f t="shared" ref="H384" si="386">G384+1</f>
        <v>2029</v>
      </c>
      <c r="I384" s="12">
        <f t="shared" ref="I384" si="387">H384+1</f>
        <v>2030</v>
      </c>
      <c r="J384" s="12">
        <f t="shared" ref="J384" si="388">I384+1</f>
        <v>2031</v>
      </c>
      <c r="K384" s="12">
        <f t="shared" ref="K384" si="389">J384+1</f>
        <v>2032</v>
      </c>
      <c r="L384" s="1" t="s">
        <v>28</v>
      </c>
    </row>
    <row r="385" spans="1:13" x14ac:dyDescent="0.25">
      <c r="A385" s="4" t="s">
        <v>35</v>
      </c>
      <c r="B385" s="32">
        <f>$G3*B372</f>
        <v>26711525.53247565</v>
      </c>
      <c r="C385" s="32">
        <f t="shared" ref="C385:K385" si="390">$G3*C372</f>
        <v>26711525.53247565</v>
      </c>
      <c r="D385" s="32">
        <f t="shared" si="390"/>
        <v>26711525.53247565</v>
      </c>
      <c r="E385" s="32">
        <f t="shared" si="390"/>
        <v>26711525.53247565</v>
      </c>
      <c r="F385" s="32">
        <f t="shared" si="390"/>
        <v>26711525.53247565</v>
      </c>
      <c r="G385" s="32">
        <f t="shared" si="390"/>
        <v>26711525.53247565</v>
      </c>
      <c r="H385" s="32">
        <f t="shared" si="390"/>
        <v>26711525.53247565</v>
      </c>
      <c r="I385" s="32">
        <f t="shared" si="390"/>
        <v>26711525.53247565</v>
      </c>
      <c r="J385" s="32">
        <f t="shared" si="390"/>
        <v>26711525.53247565</v>
      </c>
      <c r="K385" s="32">
        <f t="shared" si="390"/>
        <v>26711525.53247565</v>
      </c>
      <c r="L385" s="5">
        <f t="shared" ref="L385:L396" si="391">AVERAGE(B385:K385)</f>
        <v>26711525.53247565</v>
      </c>
    </row>
    <row r="386" spans="1:13" x14ac:dyDescent="0.25">
      <c r="A386" s="4" t="s">
        <v>36</v>
      </c>
      <c r="B386" s="32">
        <f t="shared" ref="B386:K386" si="392">$G4*B373</f>
        <v>7484555.0927052032</v>
      </c>
      <c r="C386" s="32">
        <f t="shared" si="392"/>
        <v>7484555.0927052032</v>
      </c>
      <c r="D386" s="32">
        <f t="shared" si="392"/>
        <v>7484555.0927052032</v>
      </c>
      <c r="E386" s="32">
        <f t="shared" si="392"/>
        <v>7484555.0927052032</v>
      </c>
      <c r="F386" s="32">
        <f t="shared" si="392"/>
        <v>7484555.0927052032</v>
      </c>
      <c r="G386" s="32">
        <f t="shared" si="392"/>
        <v>7484555.0927052032</v>
      </c>
      <c r="H386" s="32">
        <f t="shared" si="392"/>
        <v>7484555.0927052032</v>
      </c>
      <c r="I386" s="32">
        <f t="shared" si="392"/>
        <v>7484555.0927052032</v>
      </c>
      <c r="J386" s="32">
        <f t="shared" si="392"/>
        <v>7484555.0927052032</v>
      </c>
      <c r="K386" s="32">
        <f t="shared" si="392"/>
        <v>7484555.0927052032</v>
      </c>
      <c r="L386" s="5">
        <f t="shared" si="391"/>
        <v>7484555.0927052032</v>
      </c>
    </row>
    <row r="387" spans="1:13" x14ac:dyDescent="0.25">
      <c r="A387" s="4" t="s">
        <v>11</v>
      </c>
      <c r="B387" s="32">
        <f t="shared" ref="B387:K387" si="393">$G5*B374</f>
        <v>0</v>
      </c>
      <c r="C387" s="32">
        <f t="shared" si="393"/>
        <v>0</v>
      </c>
      <c r="D387" s="32">
        <f t="shared" si="393"/>
        <v>0</v>
      </c>
      <c r="E387" s="32">
        <f t="shared" si="393"/>
        <v>0</v>
      </c>
      <c r="F387" s="32">
        <f t="shared" si="393"/>
        <v>0</v>
      </c>
      <c r="G387" s="32">
        <f t="shared" si="393"/>
        <v>0</v>
      </c>
      <c r="H387" s="32">
        <f t="shared" si="393"/>
        <v>0</v>
      </c>
      <c r="I387" s="32">
        <f t="shared" si="393"/>
        <v>0</v>
      </c>
      <c r="J387" s="32">
        <f t="shared" si="393"/>
        <v>0</v>
      </c>
      <c r="K387" s="32">
        <f t="shared" si="393"/>
        <v>0</v>
      </c>
      <c r="L387" s="5">
        <f t="shared" si="391"/>
        <v>0</v>
      </c>
    </row>
    <row r="388" spans="1:13" x14ac:dyDescent="0.25">
      <c r="A388" s="4" t="s">
        <v>124</v>
      </c>
      <c r="B388" s="32">
        <f t="shared" ref="B388:K388" si="394">$G6*B375</f>
        <v>500000</v>
      </c>
      <c r="C388" s="32">
        <f t="shared" si="394"/>
        <v>500000</v>
      </c>
      <c r="D388" s="32">
        <f t="shared" si="394"/>
        <v>500000</v>
      </c>
      <c r="E388" s="32">
        <f t="shared" si="394"/>
        <v>500000</v>
      </c>
      <c r="F388" s="32">
        <f t="shared" si="394"/>
        <v>500000</v>
      </c>
      <c r="G388" s="32">
        <f t="shared" si="394"/>
        <v>500000</v>
      </c>
      <c r="H388" s="32">
        <f t="shared" si="394"/>
        <v>500000</v>
      </c>
      <c r="I388" s="32">
        <f t="shared" si="394"/>
        <v>500000</v>
      </c>
      <c r="J388" s="32">
        <f t="shared" si="394"/>
        <v>500000</v>
      </c>
      <c r="K388" s="32">
        <f t="shared" si="394"/>
        <v>500000</v>
      </c>
      <c r="L388" s="5">
        <f t="shared" si="391"/>
        <v>500000</v>
      </c>
    </row>
    <row r="389" spans="1:13" x14ac:dyDescent="0.25">
      <c r="A389" s="4" t="s">
        <v>12</v>
      </c>
      <c r="B389" s="32">
        <f t="shared" ref="B389:K389" si="395">$G7*B376</f>
        <v>28754239.431943417</v>
      </c>
      <c r="C389" s="32">
        <f t="shared" si="395"/>
        <v>28754239.431943417</v>
      </c>
      <c r="D389" s="32">
        <f t="shared" si="395"/>
        <v>28754239.431943417</v>
      </c>
      <c r="E389" s="32">
        <f t="shared" si="395"/>
        <v>28754239.431943417</v>
      </c>
      <c r="F389" s="32">
        <f t="shared" si="395"/>
        <v>28754239.431943417</v>
      </c>
      <c r="G389" s="32">
        <f t="shared" si="395"/>
        <v>28754239.431943417</v>
      </c>
      <c r="H389" s="32">
        <f t="shared" si="395"/>
        <v>28754239.431943417</v>
      </c>
      <c r="I389" s="32">
        <f t="shared" si="395"/>
        <v>28754239.431943417</v>
      </c>
      <c r="J389" s="32">
        <f t="shared" si="395"/>
        <v>28754239.431943417</v>
      </c>
      <c r="K389" s="32">
        <f t="shared" si="395"/>
        <v>28754239.431943417</v>
      </c>
      <c r="L389" s="5">
        <f t="shared" si="391"/>
        <v>28754239.431943417</v>
      </c>
    </row>
    <row r="390" spans="1:13" x14ac:dyDescent="0.25">
      <c r="A390" s="4" t="s">
        <v>13</v>
      </c>
      <c r="B390" s="32">
        <f t="shared" ref="B390:K390" si="396">$G8*B377</f>
        <v>5078382.9124949528</v>
      </c>
      <c r="C390" s="32">
        <f t="shared" si="396"/>
        <v>5078382.9124949528</v>
      </c>
      <c r="D390" s="32">
        <f t="shared" si="396"/>
        <v>5078382.9124949528</v>
      </c>
      <c r="E390" s="32">
        <f t="shared" si="396"/>
        <v>5078382.9124949528</v>
      </c>
      <c r="F390" s="32">
        <f t="shared" si="396"/>
        <v>5078382.9124949528</v>
      </c>
      <c r="G390" s="32">
        <f t="shared" si="396"/>
        <v>5078382.9124949528</v>
      </c>
      <c r="H390" s="32">
        <f t="shared" si="396"/>
        <v>5078382.9124949528</v>
      </c>
      <c r="I390" s="32">
        <f t="shared" si="396"/>
        <v>5078382.9124949528</v>
      </c>
      <c r="J390" s="32">
        <f t="shared" si="396"/>
        <v>5078382.9124949528</v>
      </c>
      <c r="K390" s="32">
        <f t="shared" si="396"/>
        <v>5078382.9124949528</v>
      </c>
      <c r="L390" s="5">
        <f t="shared" si="391"/>
        <v>5078382.9124949519</v>
      </c>
    </row>
    <row r="391" spans="1:13" x14ac:dyDescent="0.25">
      <c r="A391" s="4" t="s">
        <v>14</v>
      </c>
      <c r="B391" s="32">
        <f t="shared" ref="B391:K391" si="397">$G9*B378</f>
        <v>0</v>
      </c>
      <c r="C391" s="32">
        <f t="shared" si="397"/>
        <v>0</v>
      </c>
      <c r="D391" s="32">
        <f t="shared" si="397"/>
        <v>0</v>
      </c>
      <c r="E391" s="32">
        <f t="shared" si="397"/>
        <v>0</v>
      </c>
      <c r="F391" s="32">
        <f t="shared" si="397"/>
        <v>0</v>
      </c>
      <c r="G391" s="32">
        <f t="shared" si="397"/>
        <v>0</v>
      </c>
      <c r="H391" s="32">
        <f t="shared" si="397"/>
        <v>0</v>
      </c>
      <c r="I391" s="32">
        <f t="shared" si="397"/>
        <v>0</v>
      </c>
      <c r="J391" s="32">
        <f t="shared" si="397"/>
        <v>0</v>
      </c>
      <c r="K391" s="32">
        <f t="shared" si="397"/>
        <v>0</v>
      </c>
      <c r="L391" s="5">
        <f t="shared" si="391"/>
        <v>0</v>
      </c>
    </row>
    <row r="392" spans="1:13" x14ac:dyDescent="0.25">
      <c r="A392" s="4" t="s">
        <v>125</v>
      </c>
      <c r="B392" s="32">
        <f t="shared" ref="B392:K392" si="398">$G10*B379</f>
        <v>13332350.021359622</v>
      </c>
      <c r="C392" s="32">
        <f t="shared" si="398"/>
        <v>13332350.021359622</v>
      </c>
      <c r="D392" s="32">
        <f t="shared" si="398"/>
        <v>13332350.021359622</v>
      </c>
      <c r="E392" s="32">
        <f t="shared" si="398"/>
        <v>13332350.021359622</v>
      </c>
      <c r="F392" s="32">
        <f t="shared" si="398"/>
        <v>13332350.021359622</v>
      </c>
      <c r="G392" s="32">
        <f t="shared" si="398"/>
        <v>13332350.021359622</v>
      </c>
      <c r="H392" s="32">
        <f t="shared" si="398"/>
        <v>13332350.021359622</v>
      </c>
      <c r="I392" s="32">
        <f t="shared" si="398"/>
        <v>13332350.021359622</v>
      </c>
      <c r="J392" s="32">
        <f t="shared" si="398"/>
        <v>13332350.021359622</v>
      </c>
      <c r="K392" s="32">
        <f t="shared" si="398"/>
        <v>13332350.021359622</v>
      </c>
      <c r="L392" s="5">
        <f t="shared" si="391"/>
        <v>13332350.021359622</v>
      </c>
    </row>
    <row r="393" spans="1:13" x14ac:dyDescent="0.25">
      <c r="A393" s="4" t="s">
        <v>37</v>
      </c>
      <c r="B393" s="32">
        <f t="shared" ref="B393:K393" si="399">$G11*B380</f>
        <v>23713039.406007089</v>
      </c>
      <c r="C393" s="32">
        <f t="shared" si="399"/>
        <v>23713039.406007089</v>
      </c>
      <c r="D393" s="32">
        <f t="shared" si="399"/>
        <v>23713039.406007089</v>
      </c>
      <c r="E393" s="32">
        <f t="shared" si="399"/>
        <v>23713039.406007089</v>
      </c>
      <c r="F393" s="32">
        <f t="shared" si="399"/>
        <v>23713039.406007089</v>
      </c>
      <c r="G393" s="32">
        <f t="shared" si="399"/>
        <v>23713039.406007089</v>
      </c>
      <c r="H393" s="32">
        <f t="shared" si="399"/>
        <v>23713039.406007089</v>
      </c>
      <c r="I393" s="32">
        <f t="shared" si="399"/>
        <v>23713039.406007089</v>
      </c>
      <c r="J393" s="32">
        <f t="shared" si="399"/>
        <v>23713039.406007089</v>
      </c>
      <c r="K393" s="32">
        <f t="shared" si="399"/>
        <v>23713039.406007089</v>
      </c>
      <c r="L393" s="5">
        <f t="shared" si="391"/>
        <v>23713039.406007085</v>
      </c>
    </row>
    <row r="394" spans="1:13" x14ac:dyDescent="0.25">
      <c r="A394" s="4" t="s">
        <v>38</v>
      </c>
      <c r="B394" s="32">
        <f t="shared" ref="B394:K394" si="400">$G12*B381</f>
        <v>11476184.42343713</v>
      </c>
      <c r="C394" s="32">
        <f t="shared" si="400"/>
        <v>11476184.42343713</v>
      </c>
      <c r="D394" s="32">
        <f t="shared" si="400"/>
        <v>11476184.42343713</v>
      </c>
      <c r="E394" s="32">
        <f t="shared" si="400"/>
        <v>11476184.42343713</v>
      </c>
      <c r="F394" s="32">
        <f t="shared" si="400"/>
        <v>11476184.42343713</v>
      </c>
      <c r="G394" s="32">
        <f t="shared" si="400"/>
        <v>11476184.42343713</v>
      </c>
      <c r="H394" s="32">
        <f t="shared" si="400"/>
        <v>11476184.42343713</v>
      </c>
      <c r="I394" s="32">
        <f t="shared" si="400"/>
        <v>11476184.42343713</v>
      </c>
      <c r="J394" s="32">
        <f t="shared" si="400"/>
        <v>11476184.42343713</v>
      </c>
      <c r="K394" s="32">
        <f t="shared" si="400"/>
        <v>11476184.42343713</v>
      </c>
      <c r="L394" s="5">
        <f t="shared" si="391"/>
        <v>11476184.423437132</v>
      </c>
    </row>
    <row r="395" spans="1:13" x14ac:dyDescent="0.25">
      <c r="A395" s="4" t="s">
        <v>15</v>
      </c>
      <c r="B395" s="13">
        <f t="shared" ref="B395:K395" si="401">$G13*B382</f>
        <v>29380897.94441025</v>
      </c>
      <c r="C395" s="13">
        <f t="shared" si="401"/>
        <v>29380897.94441025</v>
      </c>
      <c r="D395" s="13">
        <f t="shared" si="401"/>
        <v>29380897.94441025</v>
      </c>
      <c r="E395" s="13">
        <f t="shared" si="401"/>
        <v>29380897.94441025</v>
      </c>
      <c r="F395" s="13">
        <f t="shared" si="401"/>
        <v>29380897.94441025</v>
      </c>
      <c r="G395" s="13">
        <f t="shared" si="401"/>
        <v>29380897.94441025</v>
      </c>
      <c r="H395" s="13">
        <f t="shared" si="401"/>
        <v>29380897.94441025</v>
      </c>
      <c r="I395" s="13">
        <f t="shared" si="401"/>
        <v>29380897.94441025</v>
      </c>
      <c r="J395" s="13">
        <f t="shared" si="401"/>
        <v>29380897.94441025</v>
      </c>
      <c r="K395" s="13">
        <f t="shared" si="401"/>
        <v>29380897.94441025</v>
      </c>
      <c r="L395" s="13">
        <f t="shared" si="391"/>
        <v>29380897.944410257</v>
      </c>
    </row>
    <row r="396" spans="1:13" x14ac:dyDescent="0.25">
      <c r="B396" s="5">
        <f t="shared" ref="B396:K396" si="402">SUM(B385:B395)</f>
        <v>146431174.76483333</v>
      </c>
      <c r="C396" s="5">
        <f t="shared" si="402"/>
        <v>146431174.76483333</v>
      </c>
      <c r="D396" s="5">
        <f t="shared" si="402"/>
        <v>146431174.76483333</v>
      </c>
      <c r="E396" s="5">
        <f t="shared" si="402"/>
        <v>146431174.76483333</v>
      </c>
      <c r="F396" s="5">
        <f t="shared" si="402"/>
        <v>146431174.76483333</v>
      </c>
      <c r="G396" s="5">
        <f t="shared" si="402"/>
        <v>146431174.76483333</v>
      </c>
      <c r="H396" s="5">
        <f t="shared" si="402"/>
        <v>146431174.76483333</v>
      </c>
      <c r="I396" s="5">
        <f t="shared" si="402"/>
        <v>146431174.76483333</v>
      </c>
      <c r="J396" s="5">
        <f t="shared" si="402"/>
        <v>146431174.76483333</v>
      </c>
      <c r="K396" s="5">
        <f t="shared" si="402"/>
        <v>146431174.76483333</v>
      </c>
      <c r="L396" s="5">
        <f t="shared" si="391"/>
        <v>146431174.76483336</v>
      </c>
      <c r="M396" s="62">
        <f>B396-SUM($G$3:$G$13)</f>
        <v>0</v>
      </c>
    </row>
    <row r="398" spans="1:13" x14ac:dyDescent="0.25">
      <c r="A398" s="59" t="s">
        <v>56</v>
      </c>
      <c r="L398" s="12" t="s">
        <v>28</v>
      </c>
    </row>
    <row r="399" spans="1:13" x14ac:dyDescent="0.25">
      <c r="A399" s="4" t="s">
        <v>35</v>
      </c>
      <c r="B399" s="14">
        <f>B385*B372*'Data inputs'!$B14</f>
        <v>20567874.660006251</v>
      </c>
      <c r="C399" s="14">
        <f>C385*C372*'Data inputs'!$B14</f>
        <v>20567874.660006251</v>
      </c>
      <c r="D399" s="14">
        <f>D385*D372*'Data inputs'!$B14</f>
        <v>20567874.660006251</v>
      </c>
      <c r="E399" s="14">
        <f>E385*E372*'Data inputs'!$B14</f>
        <v>20567874.660006251</v>
      </c>
      <c r="F399" s="14">
        <f>F385*F372*'Data inputs'!$B14</f>
        <v>20567874.660006251</v>
      </c>
      <c r="G399" s="14">
        <f>G385*G372*'Data inputs'!$B14</f>
        <v>20567874.660006251</v>
      </c>
      <c r="H399" s="14">
        <f>H385*H372*'Data inputs'!$B14</f>
        <v>20567874.660006251</v>
      </c>
      <c r="I399" s="14">
        <f>I385*I372*'Data inputs'!$B14</f>
        <v>20567874.660006251</v>
      </c>
      <c r="J399" s="14">
        <f>J385*J372*'Data inputs'!$B14</f>
        <v>20567874.660006251</v>
      </c>
      <c r="K399" s="14">
        <f>K385*K372*'Data inputs'!$B14</f>
        <v>20567874.660006251</v>
      </c>
      <c r="L399" s="5">
        <f t="shared" ref="L399:L410" si="403">AVERAGE(B399:K399)</f>
        <v>20567874.660006251</v>
      </c>
    </row>
    <row r="400" spans="1:13" x14ac:dyDescent="0.25">
      <c r="A400" s="4" t="s">
        <v>36</v>
      </c>
      <c r="B400" s="14">
        <f>B386*B373*'Data inputs'!$B15</f>
        <v>2245366.5278115612</v>
      </c>
      <c r="C400" s="14">
        <f>C386*C373*'Data inputs'!$B15</f>
        <v>2245366.5278115612</v>
      </c>
      <c r="D400" s="14">
        <f>D386*D373*'Data inputs'!$B15</f>
        <v>2245366.5278115612</v>
      </c>
      <c r="E400" s="14">
        <f>E386*E373*'Data inputs'!$B15</f>
        <v>2245366.5278115612</v>
      </c>
      <c r="F400" s="14">
        <f>F386*F373*'Data inputs'!$B15</f>
        <v>2245366.5278115612</v>
      </c>
      <c r="G400" s="14">
        <f>G386*G373*'Data inputs'!$B15</f>
        <v>2245366.5278115612</v>
      </c>
      <c r="H400" s="14">
        <f>H386*H373*'Data inputs'!$B15</f>
        <v>2245366.5278115612</v>
      </c>
      <c r="I400" s="14">
        <f>I386*I373*'Data inputs'!$B15</f>
        <v>2245366.5278115612</v>
      </c>
      <c r="J400" s="14">
        <f>J386*J373*'Data inputs'!$B15</f>
        <v>2245366.5278115612</v>
      </c>
      <c r="K400" s="14">
        <f>K386*K373*'Data inputs'!$B15</f>
        <v>2245366.5278115612</v>
      </c>
      <c r="L400" s="5">
        <f t="shared" si="403"/>
        <v>2245366.5278115612</v>
      </c>
    </row>
    <row r="401" spans="1:12" x14ac:dyDescent="0.25">
      <c r="A401" s="4" t="s">
        <v>11</v>
      </c>
      <c r="B401" s="14">
        <f>B387*B374*'Data inputs'!$B16</f>
        <v>0</v>
      </c>
      <c r="C401" s="14">
        <f>C387*C374*'Data inputs'!$B16</f>
        <v>0</v>
      </c>
      <c r="D401" s="14">
        <f>D387*D374*'Data inputs'!$B16</f>
        <v>0</v>
      </c>
      <c r="E401" s="14">
        <f>E387*E374*'Data inputs'!$B16</f>
        <v>0</v>
      </c>
      <c r="F401" s="14">
        <f>F387*F374*'Data inputs'!$B16</f>
        <v>0</v>
      </c>
      <c r="G401" s="14">
        <f>G387*G374*'Data inputs'!$B16</f>
        <v>0</v>
      </c>
      <c r="H401" s="14">
        <f>H387*H374*'Data inputs'!$B16</f>
        <v>0</v>
      </c>
      <c r="I401" s="14">
        <f>I387*I374*'Data inputs'!$B16</f>
        <v>0</v>
      </c>
      <c r="J401" s="14">
        <f>J387*J374*'Data inputs'!$B16</f>
        <v>0</v>
      </c>
      <c r="K401" s="14">
        <f>K387*K374*'Data inputs'!$B16</f>
        <v>0</v>
      </c>
      <c r="L401" s="5">
        <f t="shared" si="403"/>
        <v>0</v>
      </c>
    </row>
    <row r="402" spans="1:12" x14ac:dyDescent="0.25">
      <c r="A402" s="4" t="s">
        <v>124</v>
      </c>
      <c r="B402" s="14">
        <f>B388*B375*'Data inputs'!$B17</f>
        <v>399999.99999999994</v>
      </c>
      <c r="C402" s="14">
        <f>C388*C375*'Data inputs'!$B17</f>
        <v>399999.99999999994</v>
      </c>
      <c r="D402" s="14">
        <f>D388*D375*'Data inputs'!$B17</f>
        <v>399999.99999999994</v>
      </c>
      <c r="E402" s="14">
        <f>E388*E375*'Data inputs'!$B17</f>
        <v>399999.99999999994</v>
      </c>
      <c r="F402" s="14">
        <f>F388*F375*'Data inputs'!$B17</f>
        <v>399999.99999999994</v>
      </c>
      <c r="G402" s="14">
        <f>G388*G375*'Data inputs'!$B17</f>
        <v>399999.99999999994</v>
      </c>
      <c r="H402" s="14">
        <f>H388*H375*'Data inputs'!$B17</f>
        <v>399999.99999999994</v>
      </c>
      <c r="I402" s="14">
        <f>I388*I375*'Data inputs'!$B17</f>
        <v>399999.99999999994</v>
      </c>
      <c r="J402" s="14">
        <f>J388*J375*'Data inputs'!$B17</f>
        <v>399999.99999999994</v>
      </c>
      <c r="K402" s="14">
        <f>K388*K375*'Data inputs'!$B17</f>
        <v>399999.99999999994</v>
      </c>
      <c r="L402" s="5">
        <f t="shared" si="403"/>
        <v>399999.99999999994</v>
      </c>
    </row>
    <row r="403" spans="1:12" x14ac:dyDescent="0.25">
      <c r="A403" s="4" t="s">
        <v>12</v>
      </c>
      <c r="B403" s="14">
        <f>B389*B376*'Data inputs'!$B18</f>
        <v>2875423.9431943418</v>
      </c>
      <c r="C403" s="14">
        <f>C389*C376*'Data inputs'!$B18</f>
        <v>2875423.9431943418</v>
      </c>
      <c r="D403" s="14">
        <f>D389*D376*'Data inputs'!$B18</f>
        <v>2875423.9431943418</v>
      </c>
      <c r="E403" s="14">
        <f>E389*E376*'Data inputs'!$B18</f>
        <v>2875423.9431943418</v>
      </c>
      <c r="F403" s="14">
        <f>F389*F376*'Data inputs'!$B18</f>
        <v>2875423.9431943418</v>
      </c>
      <c r="G403" s="14">
        <f>G389*G376*'Data inputs'!$B18</f>
        <v>2875423.9431943418</v>
      </c>
      <c r="H403" s="14">
        <f>H389*H376*'Data inputs'!$B18</f>
        <v>2875423.9431943418</v>
      </c>
      <c r="I403" s="14">
        <f>I389*I376*'Data inputs'!$B18</f>
        <v>2875423.9431943418</v>
      </c>
      <c r="J403" s="14">
        <f>J389*J376*'Data inputs'!$B18</f>
        <v>2875423.9431943418</v>
      </c>
      <c r="K403" s="14">
        <f>K389*K376*'Data inputs'!$B18</f>
        <v>2875423.9431943418</v>
      </c>
      <c r="L403" s="5">
        <f t="shared" si="403"/>
        <v>2875423.9431943414</v>
      </c>
    </row>
    <row r="404" spans="1:12" x14ac:dyDescent="0.25">
      <c r="A404" s="4" t="s">
        <v>13</v>
      </c>
      <c r="B404" s="14">
        <f>B390*B377*'Data inputs'!$B19</f>
        <v>2031353.1649979812</v>
      </c>
      <c r="C404" s="14">
        <f>C390*C377*'Data inputs'!$B19</f>
        <v>2031353.1649979812</v>
      </c>
      <c r="D404" s="14">
        <f>D390*D377*'Data inputs'!$B19</f>
        <v>2031353.1649979812</v>
      </c>
      <c r="E404" s="14">
        <f>E390*E377*'Data inputs'!$B19</f>
        <v>2031353.1649979812</v>
      </c>
      <c r="F404" s="14">
        <f>F390*F377*'Data inputs'!$B19</f>
        <v>2031353.1649979812</v>
      </c>
      <c r="G404" s="14">
        <f>G390*G377*'Data inputs'!$B19</f>
        <v>2031353.1649979812</v>
      </c>
      <c r="H404" s="14">
        <f>H390*H377*'Data inputs'!$B19</f>
        <v>2031353.1649979812</v>
      </c>
      <c r="I404" s="14">
        <f>I390*I377*'Data inputs'!$B19</f>
        <v>2031353.1649979812</v>
      </c>
      <c r="J404" s="14">
        <f>J390*J377*'Data inputs'!$B19</f>
        <v>2031353.1649979812</v>
      </c>
      <c r="K404" s="14">
        <f>K390*K377*'Data inputs'!$B19</f>
        <v>2031353.1649979812</v>
      </c>
      <c r="L404" s="5">
        <f t="shared" si="403"/>
        <v>2031353.1649979812</v>
      </c>
    </row>
    <row r="405" spans="1:12" x14ac:dyDescent="0.25">
      <c r="A405" s="4" t="s">
        <v>14</v>
      </c>
      <c r="B405" s="14">
        <f>B391*B378*'Data inputs'!$B20</f>
        <v>0</v>
      </c>
      <c r="C405" s="14">
        <f>C391*C378*'Data inputs'!$B20</f>
        <v>0</v>
      </c>
      <c r="D405" s="14">
        <f>D391*D378*'Data inputs'!$B20</f>
        <v>0</v>
      </c>
      <c r="E405" s="14">
        <f>E391*E378*'Data inputs'!$B20</f>
        <v>0</v>
      </c>
      <c r="F405" s="14">
        <f>F391*F378*'Data inputs'!$B20</f>
        <v>0</v>
      </c>
      <c r="G405" s="14">
        <f>G391*G378*'Data inputs'!$B20</f>
        <v>0</v>
      </c>
      <c r="H405" s="14">
        <f>H391*H378*'Data inputs'!$B20</f>
        <v>0</v>
      </c>
      <c r="I405" s="14">
        <f>I391*I378*'Data inputs'!$B20</f>
        <v>0</v>
      </c>
      <c r="J405" s="14">
        <f>J391*J378*'Data inputs'!$B20</f>
        <v>0</v>
      </c>
      <c r="K405" s="14">
        <f>K391*K378*'Data inputs'!$B20</f>
        <v>0</v>
      </c>
      <c r="L405" s="5">
        <f t="shared" si="403"/>
        <v>0</v>
      </c>
    </row>
    <row r="406" spans="1:12" x14ac:dyDescent="0.25">
      <c r="A406" s="4" t="s">
        <v>125</v>
      </c>
      <c r="B406" s="14">
        <f>B392*B379*'Data inputs'!$B21</f>
        <v>10665880.017087698</v>
      </c>
      <c r="C406" s="14">
        <f>C392*C379*'Data inputs'!$B21</f>
        <v>10665880.017087698</v>
      </c>
      <c r="D406" s="14">
        <f>D392*D379*'Data inputs'!$B21</f>
        <v>10665880.017087698</v>
      </c>
      <c r="E406" s="14">
        <f>E392*E379*'Data inputs'!$B21</f>
        <v>10665880.017087698</v>
      </c>
      <c r="F406" s="14">
        <f>F392*F379*'Data inputs'!$B21</f>
        <v>10665880.017087698</v>
      </c>
      <c r="G406" s="14">
        <f>G392*G379*'Data inputs'!$B21</f>
        <v>10665880.017087698</v>
      </c>
      <c r="H406" s="14">
        <f>H392*H379*'Data inputs'!$B21</f>
        <v>10665880.017087698</v>
      </c>
      <c r="I406" s="14">
        <f>I392*I379*'Data inputs'!$B21</f>
        <v>10665880.017087698</v>
      </c>
      <c r="J406" s="14">
        <f>J392*J379*'Data inputs'!$B21</f>
        <v>10665880.017087698</v>
      </c>
      <c r="K406" s="14">
        <f>K392*K379*'Data inputs'!$B21</f>
        <v>10665880.017087698</v>
      </c>
      <c r="L406" s="5">
        <f t="shared" si="403"/>
        <v>10665880.017087698</v>
      </c>
    </row>
    <row r="407" spans="1:12" x14ac:dyDescent="0.25">
      <c r="A407" s="4" t="s">
        <v>37</v>
      </c>
      <c r="B407" s="14">
        <f>B393*B380*'Data inputs'!$B22</f>
        <v>14939214.825784465</v>
      </c>
      <c r="C407" s="14">
        <f>C393*C380*'Data inputs'!$B22</f>
        <v>14939214.825784465</v>
      </c>
      <c r="D407" s="14">
        <f>D393*D380*'Data inputs'!$B22</f>
        <v>14939214.825784465</v>
      </c>
      <c r="E407" s="14">
        <f>E393*E380*'Data inputs'!$B22</f>
        <v>14939214.825784465</v>
      </c>
      <c r="F407" s="14">
        <f>F393*F380*'Data inputs'!$B22</f>
        <v>14939214.825784465</v>
      </c>
      <c r="G407" s="14">
        <f>G393*G380*'Data inputs'!$B22</f>
        <v>14939214.825784465</v>
      </c>
      <c r="H407" s="14">
        <f>H393*H380*'Data inputs'!$B22</f>
        <v>14939214.825784465</v>
      </c>
      <c r="I407" s="14">
        <f>I393*I380*'Data inputs'!$B22</f>
        <v>14939214.825784465</v>
      </c>
      <c r="J407" s="14">
        <f>J393*J380*'Data inputs'!$B22</f>
        <v>14939214.825784465</v>
      </c>
      <c r="K407" s="14">
        <f>K393*K380*'Data inputs'!$B22</f>
        <v>14939214.825784465</v>
      </c>
      <c r="L407" s="5">
        <f t="shared" si="403"/>
        <v>14939214.825784465</v>
      </c>
    </row>
    <row r="408" spans="1:12" x14ac:dyDescent="0.25">
      <c r="A408" s="4" t="s">
        <v>38</v>
      </c>
      <c r="B408" s="14">
        <f>B394*B381*'Data inputs'!$B23</f>
        <v>1147618.442343713</v>
      </c>
      <c r="C408" s="14">
        <f>C394*C381*'Data inputs'!$B23</f>
        <v>1147618.442343713</v>
      </c>
      <c r="D408" s="14">
        <f>D394*D381*'Data inputs'!$B23</f>
        <v>1147618.442343713</v>
      </c>
      <c r="E408" s="14">
        <f>E394*E381*'Data inputs'!$B23</f>
        <v>1147618.442343713</v>
      </c>
      <c r="F408" s="14">
        <f>F394*F381*'Data inputs'!$B23</f>
        <v>1147618.442343713</v>
      </c>
      <c r="G408" s="14">
        <f>G394*G381*'Data inputs'!$B23</f>
        <v>1147618.442343713</v>
      </c>
      <c r="H408" s="14">
        <f>H394*H381*'Data inputs'!$B23</f>
        <v>1147618.442343713</v>
      </c>
      <c r="I408" s="14">
        <f>I394*I381*'Data inputs'!$B23</f>
        <v>1147618.442343713</v>
      </c>
      <c r="J408" s="14">
        <f>J394*J381*'Data inputs'!$B23</f>
        <v>1147618.442343713</v>
      </c>
      <c r="K408" s="14">
        <f>K394*K381*'Data inputs'!$B23</f>
        <v>1147618.442343713</v>
      </c>
      <c r="L408" s="5">
        <f t="shared" si="403"/>
        <v>1147618.4423437133</v>
      </c>
    </row>
    <row r="409" spans="1:12" x14ac:dyDescent="0.25">
      <c r="A409" s="4" t="s">
        <v>15</v>
      </c>
      <c r="B409" s="60">
        <f>B395*B382*'Data inputs'!$B24</f>
        <v>11752359.177764101</v>
      </c>
      <c r="C409" s="60">
        <f>C395*C382*'Data inputs'!$B24</f>
        <v>11752359.177764101</v>
      </c>
      <c r="D409" s="60">
        <f>D395*D382*'Data inputs'!$B24</f>
        <v>11752359.177764101</v>
      </c>
      <c r="E409" s="60">
        <f>E395*E382*'Data inputs'!$B24</f>
        <v>11752359.177764101</v>
      </c>
      <c r="F409" s="60">
        <f>F395*F382*'Data inputs'!$B24</f>
        <v>11752359.177764101</v>
      </c>
      <c r="G409" s="60">
        <f>G395*G382*'Data inputs'!$B24</f>
        <v>11752359.177764101</v>
      </c>
      <c r="H409" s="60">
        <f>H395*H382*'Data inputs'!$B24</f>
        <v>11752359.177764101</v>
      </c>
      <c r="I409" s="60">
        <f>I395*I382*'Data inputs'!$B24</f>
        <v>11752359.177764101</v>
      </c>
      <c r="J409" s="60">
        <f>J395*J382*'Data inputs'!$B24</f>
        <v>11752359.177764101</v>
      </c>
      <c r="K409" s="60">
        <f>K395*K382*'Data inputs'!$B24</f>
        <v>11752359.177764101</v>
      </c>
      <c r="L409" s="13">
        <f t="shared" si="403"/>
        <v>11752359.177764101</v>
      </c>
    </row>
    <row r="410" spans="1:12" x14ac:dyDescent="0.25">
      <c r="B410" s="14">
        <f>SUM(B399:B409)</f>
        <v>66625090.758990116</v>
      </c>
      <c r="C410" s="14">
        <f t="shared" ref="C410" si="404">SUM(C399:C409)</f>
        <v>66625090.758990116</v>
      </c>
      <c r="D410" s="14">
        <f t="shared" ref="D410" si="405">SUM(D399:D409)</f>
        <v>66625090.758990116</v>
      </c>
      <c r="E410" s="14">
        <f t="shared" ref="E410" si="406">SUM(E399:E409)</f>
        <v>66625090.758990116</v>
      </c>
      <c r="F410" s="14">
        <f t="shared" ref="F410" si="407">SUM(F399:F409)</f>
        <v>66625090.758990116</v>
      </c>
      <c r="G410" s="14">
        <f t="shared" ref="G410" si="408">SUM(G399:G409)</f>
        <v>66625090.758990116</v>
      </c>
      <c r="H410" s="14">
        <f t="shared" ref="H410" si="409">SUM(H399:H409)</f>
        <v>66625090.758990116</v>
      </c>
      <c r="I410" s="14">
        <f t="shared" ref="I410" si="410">SUM(I399:I409)</f>
        <v>66625090.758990116</v>
      </c>
      <c r="J410" s="14">
        <f t="shared" ref="J410" si="411">SUM(J399:J409)</f>
        <v>66625090.758990116</v>
      </c>
      <c r="K410" s="14">
        <f t="shared" ref="K410" si="412">SUM(K399:K409)</f>
        <v>66625090.758990116</v>
      </c>
      <c r="L410" s="5">
        <f t="shared" si="403"/>
        <v>66625090.758990124</v>
      </c>
    </row>
    <row r="411" spans="1:12" x14ac:dyDescent="0.25">
      <c r="B411" s="16">
        <f>B410/B$396</f>
        <v>0.45499253055907796</v>
      </c>
      <c r="C411" s="16">
        <f t="shared" ref="C411:K411" si="413">C410/C$396</f>
        <v>0.45499253055907796</v>
      </c>
      <c r="D411" s="16">
        <f t="shared" si="413"/>
        <v>0.45499253055907796</v>
      </c>
      <c r="E411" s="16">
        <f t="shared" si="413"/>
        <v>0.45499253055907796</v>
      </c>
      <c r="F411" s="16">
        <f t="shared" si="413"/>
        <v>0.45499253055907796</v>
      </c>
      <c r="G411" s="16">
        <f t="shared" si="413"/>
        <v>0.45499253055907796</v>
      </c>
      <c r="H411" s="16">
        <f t="shared" si="413"/>
        <v>0.45499253055907796</v>
      </c>
      <c r="I411" s="16">
        <f t="shared" si="413"/>
        <v>0.45499253055907796</v>
      </c>
      <c r="J411" s="16">
        <f t="shared" si="413"/>
        <v>0.45499253055907796</v>
      </c>
      <c r="K411" s="16">
        <f t="shared" si="413"/>
        <v>0.45499253055907796</v>
      </c>
    </row>
    <row r="412" spans="1:12" x14ac:dyDescent="0.25">
      <c r="B412" s="16"/>
      <c r="C412" s="16"/>
      <c r="D412" s="16"/>
      <c r="E412" s="16"/>
      <c r="F412" s="16"/>
      <c r="G412" s="16"/>
      <c r="H412" s="16"/>
      <c r="I412" s="16"/>
      <c r="J412" s="16"/>
      <c r="K412" s="16"/>
    </row>
    <row r="413" spans="1:12" x14ac:dyDescent="0.25">
      <c r="A413" s="59" t="s">
        <v>57</v>
      </c>
      <c r="L413" s="12" t="s">
        <v>28</v>
      </c>
    </row>
    <row r="414" spans="1:12" x14ac:dyDescent="0.25">
      <c r="A414" s="4" t="s">
        <v>35</v>
      </c>
      <c r="B414" s="14">
        <f>B385*B372*'Data inputs'!$C14</f>
        <v>15225569.553511122</v>
      </c>
      <c r="C414" s="14">
        <f>C385*C372*'Data inputs'!$C14</f>
        <v>15225569.553511122</v>
      </c>
      <c r="D414" s="14">
        <f>D385*D372*'Data inputs'!$C14</f>
        <v>15225569.553511122</v>
      </c>
      <c r="E414" s="14">
        <f>E385*E372*'Data inputs'!$C14</f>
        <v>15225569.553511122</v>
      </c>
      <c r="F414" s="14">
        <f>F385*F372*'Data inputs'!$C14</f>
        <v>15225569.553511122</v>
      </c>
      <c r="G414" s="14">
        <f>G385*G372*'Data inputs'!$C14</f>
        <v>15225569.553511122</v>
      </c>
      <c r="H414" s="14">
        <f>H385*H372*'Data inputs'!$C14</f>
        <v>15225569.553511122</v>
      </c>
      <c r="I414" s="14">
        <f>I385*I372*'Data inputs'!$C14</f>
        <v>15225569.553511122</v>
      </c>
      <c r="J414" s="14">
        <f>J385*J372*'Data inputs'!$C14</f>
        <v>15225569.553511122</v>
      </c>
      <c r="K414" s="14">
        <f>K385*K372*'Data inputs'!$C14</f>
        <v>15225569.553511122</v>
      </c>
      <c r="L414" s="5">
        <f t="shared" ref="L414:L425" si="414">AVERAGE(B414:K414)</f>
        <v>15225569.553511122</v>
      </c>
    </row>
    <row r="415" spans="1:12" x14ac:dyDescent="0.25">
      <c r="A415" s="4" t="s">
        <v>36</v>
      </c>
      <c r="B415" s="14">
        <f>B386*B373*'Data inputs'!$C15</f>
        <v>748455.50927052042</v>
      </c>
      <c r="C415" s="14">
        <f>C386*C373*'Data inputs'!$C15</f>
        <v>748455.50927052042</v>
      </c>
      <c r="D415" s="14">
        <f>D386*D373*'Data inputs'!$C15</f>
        <v>748455.50927052042</v>
      </c>
      <c r="E415" s="14">
        <f>E386*E373*'Data inputs'!$C15</f>
        <v>748455.50927052042</v>
      </c>
      <c r="F415" s="14">
        <f>F386*F373*'Data inputs'!$C15</f>
        <v>748455.50927052042</v>
      </c>
      <c r="G415" s="14">
        <f>G386*G373*'Data inputs'!$C15</f>
        <v>748455.50927052042</v>
      </c>
      <c r="H415" s="14">
        <f>H386*H373*'Data inputs'!$C15</f>
        <v>748455.50927052042</v>
      </c>
      <c r="I415" s="14">
        <f>I386*I373*'Data inputs'!$C15</f>
        <v>748455.50927052042</v>
      </c>
      <c r="J415" s="14">
        <f>J386*J373*'Data inputs'!$C15</f>
        <v>748455.50927052042</v>
      </c>
      <c r="K415" s="14">
        <f>K386*K373*'Data inputs'!$C15</f>
        <v>748455.50927052042</v>
      </c>
      <c r="L415" s="5">
        <f t="shared" si="414"/>
        <v>748455.50927052053</v>
      </c>
    </row>
    <row r="416" spans="1:12" x14ac:dyDescent="0.25">
      <c r="A416" s="4" t="s">
        <v>11</v>
      </c>
      <c r="B416" s="14">
        <f>B387*B374*'Data inputs'!$C16</f>
        <v>0</v>
      </c>
      <c r="C416" s="14">
        <f>C387*C374*'Data inputs'!$C16</f>
        <v>0</v>
      </c>
      <c r="D416" s="14">
        <f>D387*D374*'Data inputs'!$C16</f>
        <v>0</v>
      </c>
      <c r="E416" s="14">
        <f>E387*E374*'Data inputs'!$C16</f>
        <v>0</v>
      </c>
      <c r="F416" s="14">
        <f>F387*F374*'Data inputs'!$C16</f>
        <v>0</v>
      </c>
      <c r="G416" s="14">
        <f>G387*G374*'Data inputs'!$C16</f>
        <v>0</v>
      </c>
      <c r="H416" s="14">
        <f>H387*H374*'Data inputs'!$C16</f>
        <v>0</v>
      </c>
      <c r="I416" s="14">
        <f>I387*I374*'Data inputs'!$C16</f>
        <v>0</v>
      </c>
      <c r="J416" s="14">
        <f>J387*J374*'Data inputs'!$C16</f>
        <v>0</v>
      </c>
      <c r="K416" s="14">
        <f>K387*K374*'Data inputs'!$C16</f>
        <v>0</v>
      </c>
      <c r="L416" s="5">
        <f t="shared" si="414"/>
        <v>0</v>
      </c>
    </row>
    <row r="417" spans="1:12" x14ac:dyDescent="0.25">
      <c r="A417" s="4" t="s">
        <v>124</v>
      </c>
      <c r="B417" s="14">
        <f>B388*B375*'Data inputs'!$C17</f>
        <v>300000</v>
      </c>
      <c r="C417" s="14">
        <f>C388*C375*'Data inputs'!$C17</f>
        <v>300000</v>
      </c>
      <c r="D417" s="14">
        <f>D388*D375*'Data inputs'!$C17</f>
        <v>300000</v>
      </c>
      <c r="E417" s="14">
        <f>E388*E375*'Data inputs'!$C17</f>
        <v>300000</v>
      </c>
      <c r="F417" s="14">
        <f>F388*F375*'Data inputs'!$C17</f>
        <v>300000</v>
      </c>
      <c r="G417" s="14">
        <f>G388*G375*'Data inputs'!$C17</f>
        <v>300000</v>
      </c>
      <c r="H417" s="14">
        <f>H388*H375*'Data inputs'!$C17</f>
        <v>300000</v>
      </c>
      <c r="I417" s="14">
        <f>I388*I375*'Data inputs'!$C17</f>
        <v>300000</v>
      </c>
      <c r="J417" s="14">
        <f>J388*J375*'Data inputs'!$C17</f>
        <v>300000</v>
      </c>
      <c r="K417" s="14">
        <f>K388*K375*'Data inputs'!$C17</f>
        <v>300000</v>
      </c>
      <c r="L417" s="5">
        <f t="shared" si="414"/>
        <v>300000</v>
      </c>
    </row>
    <row r="418" spans="1:12" x14ac:dyDescent="0.25">
      <c r="A418" s="4" t="s">
        <v>12</v>
      </c>
      <c r="B418" s="14">
        <f>B389*B376*'Data inputs'!$C18</f>
        <v>0</v>
      </c>
      <c r="C418" s="14">
        <f>C389*C376*'Data inputs'!$C18</f>
        <v>0</v>
      </c>
      <c r="D418" s="14">
        <f>D389*D376*'Data inputs'!$C18</f>
        <v>0</v>
      </c>
      <c r="E418" s="14">
        <f>E389*E376*'Data inputs'!$C18</f>
        <v>0</v>
      </c>
      <c r="F418" s="14">
        <f>F389*F376*'Data inputs'!$C18</f>
        <v>0</v>
      </c>
      <c r="G418" s="14">
        <f>G389*G376*'Data inputs'!$C18</f>
        <v>0</v>
      </c>
      <c r="H418" s="14">
        <f>H389*H376*'Data inputs'!$C18</f>
        <v>0</v>
      </c>
      <c r="I418" s="14">
        <f>I389*I376*'Data inputs'!$C18</f>
        <v>0</v>
      </c>
      <c r="J418" s="14">
        <f>J389*J376*'Data inputs'!$C18</f>
        <v>0</v>
      </c>
      <c r="K418" s="14">
        <f>K389*K376*'Data inputs'!$C18</f>
        <v>0</v>
      </c>
      <c r="L418" s="5">
        <f t="shared" si="414"/>
        <v>0</v>
      </c>
    </row>
    <row r="419" spans="1:12" x14ac:dyDescent="0.25">
      <c r="A419" s="4" t="s">
        <v>13</v>
      </c>
      <c r="B419" s="14">
        <f>B390*B377*'Data inputs'!$C19</f>
        <v>1015676.5824989905</v>
      </c>
      <c r="C419" s="14">
        <f>C390*C377*'Data inputs'!$C19</f>
        <v>1015676.5824989905</v>
      </c>
      <c r="D419" s="14">
        <f>D390*D377*'Data inputs'!$C19</f>
        <v>1015676.5824989905</v>
      </c>
      <c r="E419" s="14">
        <f>E390*E377*'Data inputs'!$C19</f>
        <v>1015676.5824989905</v>
      </c>
      <c r="F419" s="14">
        <f>F390*F377*'Data inputs'!$C19</f>
        <v>1015676.5824989905</v>
      </c>
      <c r="G419" s="14">
        <f>G390*G377*'Data inputs'!$C19</f>
        <v>1015676.5824989905</v>
      </c>
      <c r="H419" s="14">
        <f>H390*H377*'Data inputs'!$C19</f>
        <v>1015676.5824989905</v>
      </c>
      <c r="I419" s="14">
        <f>I390*I377*'Data inputs'!$C19</f>
        <v>1015676.5824989905</v>
      </c>
      <c r="J419" s="14">
        <f>J390*J377*'Data inputs'!$C19</f>
        <v>1015676.5824989905</v>
      </c>
      <c r="K419" s="14">
        <f>K390*K377*'Data inputs'!$C19</f>
        <v>1015676.5824989905</v>
      </c>
      <c r="L419" s="5">
        <f t="shared" si="414"/>
        <v>1015676.5824989902</v>
      </c>
    </row>
    <row r="420" spans="1:12" x14ac:dyDescent="0.25">
      <c r="A420" s="4" t="s">
        <v>14</v>
      </c>
      <c r="B420" s="14">
        <f>B391*B378*'Data inputs'!$C20</f>
        <v>0</v>
      </c>
      <c r="C420" s="14">
        <f>C391*C378*'Data inputs'!$C20</f>
        <v>0</v>
      </c>
      <c r="D420" s="14">
        <f>D391*D378*'Data inputs'!$C20</f>
        <v>0</v>
      </c>
      <c r="E420" s="14">
        <f>E391*E378*'Data inputs'!$C20</f>
        <v>0</v>
      </c>
      <c r="F420" s="14">
        <f>F391*F378*'Data inputs'!$C20</f>
        <v>0</v>
      </c>
      <c r="G420" s="14">
        <f>G391*G378*'Data inputs'!$C20</f>
        <v>0</v>
      </c>
      <c r="H420" s="14">
        <f>H391*H378*'Data inputs'!$C20</f>
        <v>0</v>
      </c>
      <c r="I420" s="14">
        <f>I391*I378*'Data inputs'!$C20</f>
        <v>0</v>
      </c>
      <c r="J420" s="14">
        <f>J391*J378*'Data inputs'!$C20</f>
        <v>0</v>
      </c>
      <c r="K420" s="14">
        <f>K391*K378*'Data inputs'!$C20</f>
        <v>0</v>
      </c>
      <c r="L420" s="5">
        <f t="shared" si="414"/>
        <v>0</v>
      </c>
    </row>
    <row r="421" spans="1:12" x14ac:dyDescent="0.25">
      <c r="A421" s="4" t="s">
        <v>125</v>
      </c>
      <c r="B421" s="14">
        <f>B392*B379*'Data inputs'!$C21</f>
        <v>7999410.0128157735</v>
      </c>
      <c r="C421" s="14">
        <f>C392*C379*'Data inputs'!$C21</f>
        <v>7999410.0128157735</v>
      </c>
      <c r="D421" s="14">
        <f>D392*D379*'Data inputs'!$C21</f>
        <v>7999410.0128157735</v>
      </c>
      <c r="E421" s="14">
        <f>E392*E379*'Data inputs'!$C21</f>
        <v>7999410.0128157735</v>
      </c>
      <c r="F421" s="14">
        <f>F392*F379*'Data inputs'!$C21</f>
        <v>7999410.0128157735</v>
      </c>
      <c r="G421" s="14">
        <f>G392*G379*'Data inputs'!$C21</f>
        <v>7999410.0128157735</v>
      </c>
      <c r="H421" s="14">
        <f>H392*H379*'Data inputs'!$C21</f>
        <v>7999410.0128157735</v>
      </c>
      <c r="I421" s="14">
        <f>I392*I379*'Data inputs'!$C21</f>
        <v>7999410.0128157735</v>
      </c>
      <c r="J421" s="14">
        <f>J392*J379*'Data inputs'!$C21</f>
        <v>7999410.0128157735</v>
      </c>
      <c r="K421" s="14">
        <f>K392*K379*'Data inputs'!$C21</f>
        <v>7999410.0128157735</v>
      </c>
      <c r="L421" s="5">
        <f t="shared" si="414"/>
        <v>7999410.0128157735</v>
      </c>
    </row>
    <row r="422" spans="1:12" x14ac:dyDescent="0.25">
      <c r="A422" s="4" t="s">
        <v>37</v>
      </c>
      <c r="B422" s="14">
        <f>B393*B380*'Data inputs'!$C22</f>
        <v>10196606.944583049</v>
      </c>
      <c r="C422" s="14">
        <f>C393*C380*'Data inputs'!$C22</f>
        <v>10196606.944583049</v>
      </c>
      <c r="D422" s="14">
        <f>D393*D380*'Data inputs'!$C22</f>
        <v>10196606.944583049</v>
      </c>
      <c r="E422" s="14">
        <f>E393*E380*'Data inputs'!$C22</f>
        <v>10196606.944583049</v>
      </c>
      <c r="F422" s="14">
        <f>F393*F380*'Data inputs'!$C22</f>
        <v>10196606.944583049</v>
      </c>
      <c r="G422" s="14">
        <f>G393*G380*'Data inputs'!$C22</f>
        <v>10196606.944583049</v>
      </c>
      <c r="H422" s="14">
        <f>H393*H380*'Data inputs'!$C22</f>
        <v>10196606.944583049</v>
      </c>
      <c r="I422" s="14">
        <f>I393*I380*'Data inputs'!$C22</f>
        <v>10196606.944583049</v>
      </c>
      <c r="J422" s="14">
        <f>J393*J380*'Data inputs'!$C22</f>
        <v>10196606.944583049</v>
      </c>
      <c r="K422" s="14">
        <f>K393*K380*'Data inputs'!$C22</f>
        <v>10196606.944583049</v>
      </c>
      <c r="L422" s="5">
        <f t="shared" si="414"/>
        <v>10196606.944583047</v>
      </c>
    </row>
    <row r="423" spans="1:12" x14ac:dyDescent="0.25">
      <c r="A423" s="4" t="s">
        <v>38</v>
      </c>
      <c r="B423" s="14">
        <f>B394*B381*'Data inputs'!$C23</f>
        <v>0</v>
      </c>
      <c r="C423" s="14">
        <f>C394*C381*'Data inputs'!$C23</f>
        <v>0</v>
      </c>
      <c r="D423" s="14">
        <f>D394*D381*'Data inputs'!$C23</f>
        <v>0</v>
      </c>
      <c r="E423" s="14">
        <f>E394*E381*'Data inputs'!$C23</f>
        <v>0</v>
      </c>
      <c r="F423" s="14">
        <f>F394*F381*'Data inputs'!$C23</f>
        <v>0</v>
      </c>
      <c r="G423" s="14">
        <f>G394*G381*'Data inputs'!$C23</f>
        <v>0</v>
      </c>
      <c r="H423" s="14">
        <f>H394*H381*'Data inputs'!$C23</f>
        <v>0</v>
      </c>
      <c r="I423" s="14">
        <f>I394*I381*'Data inputs'!$C23</f>
        <v>0</v>
      </c>
      <c r="J423" s="14">
        <f>J394*J381*'Data inputs'!$C23</f>
        <v>0</v>
      </c>
      <c r="K423" s="14">
        <f>K394*K381*'Data inputs'!$C23</f>
        <v>0</v>
      </c>
      <c r="L423" s="5">
        <f t="shared" si="414"/>
        <v>0</v>
      </c>
    </row>
    <row r="424" spans="1:12" x14ac:dyDescent="0.25">
      <c r="A424" s="4" t="s">
        <v>15</v>
      </c>
      <c r="B424" s="60">
        <f>B395*B382*'Data inputs'!$C24</f>
        <v>5876179.5888820495</v>
      </c>
      <c r="C424" s="60">
        <f>C395*C382*'Data inputs'!$C24</f>
        <v>5876179.5888820495</v>
      </c>
      <c r="D424" s="60">
        <f>D395*D382*'Data inputs'!$C24</f>
        <v>5876179.5888820495</v>
      </c>
      <c r="E424" s="60">
        <f>E395*E382*'Data inputs'!$C24</f>
        <v>5876179.5888820495</v>
      </c>
      <c r="F424" s="60">
        <f>F395*F382*'Data inputs'!$C24</f>
        <v>5876179.5888820495</v>
      </c>
      <c r="G424" s="60">
        <f>G395*G382*'Data inputs'!$C24</f>
        <v>5876179.5888820495</v>
      </c>
      <c r="H424" s="60">
        <f>H395*H382*'Data inputs'!$C24</f>
        <v>5876179.5888820495</v>
      </c>
      <c r="I424" s="60">
        <f>I395*I382*'Data inputs'!$C24</f>
        <v>5876179.5888820495</v>
      </c>
      <c r="J424" s="60">
        <f>J395*J382*'Data inputs'!$C24</f>
        <v>5876179.5888820495</v>
      </c>
      <c r="K424" s="60">
        <f>K395*K382*'Data inputs'!$C24</f>
        <v>5876179.5888820495</v>
      </c>
      <c r="L424" s="13">
        <f t="shared" si="414"/>
        <v>5876179.5888820505</v>
      </c>
    </row>
    <row r="425" spans="1:12" x14ac:dyDescent="0.25">
      <c r="B425" s="14">
        <f>SUM(B414:B424)</f>
        <v>41361898.191561505</v>
      </c>
      <c r="C425" s="14">
        <f t="shared" ref="C425" si="415">SUM(C414:C424)</f>
        <v>41361898.191561505</v>
      </c>
      <c r="D425" s="14">
        <f t="shared" ref="D425" si="416">SUM(D414:D424)</f>
        <v>41361898.191561505</v>
      </c>
      <c r="E425" s="14">
        <f t="shared" ref="E425" si="417">SUM(E414:E424)</f>
        <v>41361898.191561505</v>
      </c>
      <c r="F425" s="14">
        <f t="shared" ref="F425" si="418">SUM(F414:F424)</f>
        <v>41361898.191561505</v>
      </c>
      <c r="G425" s="14">
        <f t="shared" ref="G425" si="419">SUM(G414:G424)</f>
        <v>41361898.191561505</v>
      </c>
      <c r="H425" s="14">
        <f t="shared" ref="H425" si="420">SUM(H414:H424)</f>
        <v>41361898.191561505</v>
      </c>
      <c r="I425" s="14">
        <f t="shared" ref="I425" si="421">SUM(I414:I424)</f>
        <v>41361898.191561505</v>
      </c>
      <c r="J425" s="14">
        <f t="shared" ref="J425" si="422">SUM(J414:J424)</f>
        <v>41361898.191561505</v>
      </c>
      <c r="K425" s="14">
        <f t="shared" ref="K425" si="423">SUM(K414:K424)</f>
        <v>41361898.191561505</v>
      </c>
      <c r="L425" s="5">
        <f t="shared" si="414"/>
        <v>41361898.191561513</v>
      </c>
    </row>
    <row r="426" spans="1:12" x14ac:dyDescent="0.25">
      <c r="B426" s="16">
        <f>B425/B$396</f>
        <v>0.28246647790669033</v>
      </c>
      <c r="C426" s="16">
        <f t="shared" ref="C426" si="424">C425/C$396</f>
        <v>0.28246647790669033</v>
      </c>
      <c r="D426" s="16">
        <f t="shared" ref="D426" si="425">D425/D$396</f>
        <v>0.28246647790669033</v>
      </c>
      <c r="E426" s="16">
        <f t="shared" ref="E426" si="426">E425/E$396</f>
        <v>0.28246647790669033</v>
      </c>
      <c r="F426" s="16">
        <f t="shared" ref="F426" si="427">F425/F$396</f>
        <v>0.28246647790669033</v>
      </c>
      <c r="G426" s="16">
        <f t="shared" ref="G426" si="428">G425/G$396</f>
        <v>0.28246647790669033</v>
      </c>
      <c r="H426" s="16">
        <f t="shared" ref="H426" si="429">H425/H$396</f>
        <v>0.28246647790669033</v>
      </c>
      <c r="I426" s="16">
        <f t="shared" ref="I426" si="430">I425/I$396</f>
        <v>0.28246647790669033</v>
      </c>
      <c r="J426" s="16">
        <f t="shared" ref="J426" si="431">J425/J$396</f>
        <v>0.28246647790669033</v>
      </c>
      <c r="K426" s="16">
        <f t="shared" ref="K426" si="432">K425/K$396</f>
        <v>0.28246647790669033</v>
      </c>
    </row>
    <row r="427" spans="1:12" x14ac:dyDescent="0.25">
      <c r="A427" s="61" t="s">
        <v>58</v>
      </c>
      <c r="B427" s="18"/>
      <c r="C427" s="48"/>
      <c r="D427" s="48"/>
      <c r="E427" s="48"/>
      <c r="F427" s="48"/>
      <c r="G427" s="48"/>
      <c r="H427" s="48"/>
      <c r="I427" s="48"/>
      <c r="J427" s="48"/>
      <c r="K427" s="48"/>
    </row>
    <row r="428" spans="1:12" x14ac:dyDescent="0.25">
      <c r="A428" s="20" t="s">
        <v>35</v>
      </c>
      <c r="B428" s="5">
        <f t="shared" ref="B428:B438" si="433">(B414+B399)/2</f>
        <v>17896722.106758688</v>
      </c>
      <c r="C428" s="5">
        <f t="shared" ref="C428:K428" si="434">(C414+C399)/2</f>
        <v>17896722.106758688</v>
      </c>
      <c r="D428" s="5">
        <f t="shared" si="434"/>
        <v>17896722.106758688</v>
      </c>
      <c r="E428" s="5">
        <f t="shared" si="434"/>
        <v>17896722.106758688</v>
      </c>
      <c r="F428" s="5">
        <f t="shared" si="434"/>
        <v>17896722.106758688</v>
      </c>
      <c r="G428" s="5">
        <f t="shared" si="434"/>
        <v>17896722.106758688</v>
      </c>
      <c r="H428" s="5">
        <f t="shared" si="434"/>
        <v>17896722.106758688</v>
      </c>
      <c r="I428" s="5">
        <f t="shared" si="434"/>
        <v>17896722.106758688</v>
      </c>
      <c r="J428" s="5">
        <f t="shared" si="434"/>
        <v>17896722.106758688</v>
      </c>
      <c r="K428" s="5">
        <f t="shared" si="434"/>
        <v>17896722.106758688</v>
      </c>
    </row>
    <row r="429" spans="1:12" x14ac:dyDescent="0.25">
      <c r="A429" s="20" t="s">
        <v>36</v>
      </c>
      <c r="B429" s="5">
        <f t="shared" si="433"/>
        <v>1496911.0185410408</v>
      </c>
      <c r="C429" s="5">
        <f t="shared" ref="C429:K429" si="435">(C415+C400)/2</f>
        <v>1496911.0185410408</v>
      </c>
      <c r="D429" s="5">
        <f t="shared" si="435"/>
        <v>1496911.0185410408</v>
      </c>
      <c r="E429" s="5">
        <f t="shared" si="435"/>
        <v>1496911.0185410408</v>
      </c>
      <c r="F429" s="5">
        <f t="shared" si="435"/>
        <v>1496911.0185410408</v>
      </c>
      <c r="G429" s="5">
        <f t="shared" si="435"/>
        <v>1496911.0185410408</v>
      </c>
      <c r="H429" s="5">
        <f t="shared" si="435"/>
        <v>1496911.0185410408</v>
      </c>
      <c r="I429" s="5">
        <f t="shared" si="435"/>
        <v>1496911.0185410408</v>
      </c>
      <c r="J429" s="5">
        <f t="shared" si="435"/>
        <v>1496911.0185410408</v>
      </c>
      <c r="K429" s="5">
        <f t="shared" si="435"/>
        <v>1496911.0185410408</v>
      </c>
    </row>
    <row r="430" spans="1:12" x14ac:dyDescent="0.25">
      <c r="A430" s="20" t="s">
        <v>11</v>
      </c>
      <c r="B430" s="5">
        <f t="shared" si="433"/>
        <v>0</v>
      </c>
      <c r="C430" s="5">
        <f t="shared" ref="C430:K430" si="436">(C416+C401)/2</f>
        <v>0</v>
      </c>
      <c r="D430" s="5">
        <f t="shared" si="436"/>
        <v>0</v>
      </c>
      <c r="E430" s="5">
        <f t="shared" si="436"/>
        <v>0</v>
      </c>
      <c r="F430" s="5">
        <f t="shared" si="436"/>
        <v>0</v>
      </c>
      <c r="G430" s="5">
        <f t="shared" si="436"/>
        <v>0</v>
      </c>
      <c r="H430" s="5">
        <f t="shared" si="436"/>
        <v>0</v>
      </c>
      <c r="I430" s="5">
        <f t="shared" si="436"/>
        <v>0</v>
      </c>
      <c r="J430" s="5">
        <f t="shared" si="436"/>
        <v>0</v>
      </c>
      <c r="K430" s="5">
        <f t="shared" si="436"/>
        <v>0</v>
      </c>
    </row>
    <row r="431" spans="1:12" x14ac:dyDescent="0.25">
      <c r="A431" s="20" t="s">
        <v>124</v>
      </c>
      <c r="B431" s="5">
        <f t="shared" si="433"/>
        <v>350000</v>
      </c>
      <c r="C431" s="5">
        <f t="shared" ref="C431:K431" si="437">(C417+C402)/2</f>
        <v>350000</v>
      </c>
      <c r="D431" s="5">
        <f t="shared" si="437"/>
        <v>350000</v>
      </c>
      <c r="E431" s="5">
        <f t="shared" si="437"/>
        <v>350000</v>
      </c>
      <c r="F431" s="5">
        <f t="shared" si="437"/>
        <v>350000</v>
      </c>
      <c r="G431" s="5">
        <f t="shared" si="437"/>
        <v>350000</v>
      </c>
      <c r="H431" s="5">
        <f t="shared" si="437"/>
        <v>350000</v>
      </c>
      <c r="I431" s="5">
        <f t="shared" si="437"/>
        <v>350000</v>
      </c>
      <c r="J431" s="5">
        <f t="shared" si="437"/>
        <v>350000</v>
      </c>
      <c r="K431" s="5">
        <f t="shared" si="437"/>
        <v>350000</v>
      </c>
    </row>
    <row r="432" spans="1:12" x14ac:dyDescent="0.25">
      <c r="A432" s="20" t="s">
        <v>12</v>
      </c>
      <c r="B432" s="5">
        <f t="shared" si="433"/>
        <v>1437711.9715971709</v>
      </c>
      <c r="C432" s="5">
        <f t="shared" ref="C432:K432" si="438">(C418+C403)/2</f>
        <v>1437711.9715971709</v>
      </c>
      <c r="D432" s="5">
        <f t="shared" si="438"/>
        <v>1437711.9715971709</v>
      </c>
      <c r="E432" s="5">
        <f t="shared" si="438"/>
        <v>1437711.9715971709</v>
      </c>
      <c r="F432" s="5">
        <f t="shared" si="438"/>
        <v>1437711.9715971709</v>
      </c>
      <c r="G432" s="5">
        <f t="shared" si="438"/>
        <v>1437711.9715971709</v>
      </c>
      <c r="H432" s="5">
        <f t="shared" si="438"/>
        <v>1437711.9715971709</v>
      </c>
      <c r="I432" s="5">
        <f t="shared" si="438"/>
        <v>1437711.9715971709</v>
      </c>
      <c r="J432" s="5">
        <f t="shared" si="438"/>
        <v>1437711.9715971709</v>
      </c>
      <c r="K432" s="5">
        <f t="shared" si="438"/>
        <v>1437711.9715971709</v>
      </c>
    </row>
    <row r="433" spans="1:12" x14ac:dyDescent="0.25">
      <c r="A433" s="20" t="s">
        <v>13</v>
      </c>
      <c r="B433" s="5">
        <f t="shared" si="433"/>
        <v>1523514.8737484859</v>
      </c>
      <c r="C433" s="5">
        <f t="shared" ref="C433:K433" si="439">(C419+C404)/2</f>
        <v>1523514.8737484859</v>
      </c>
      <c r="D433" s="5">
        <f t="shared" si="439"/>
        <v>1523514.8737484859</v>
      </c>
      <c r="E433" s="5">
        <f t="shared" si="439"/>
        <v>1523514.8737484859</v>
      </c>
      <c r="F433" s="5">
        <f t="shared" si="439"/>
        <v>1523514.8737484859</v>
      </c>
      <c r="G433" s="5">
        <f t="shared" si="439"/>
        <v>1523514.8737484859</v>
      </c>
      <c r="H433" s="5">
        <f t="shared" si="439"/>
        <v>1523514.8737484859</v>
      </c>
      <c r="I433" s="5">
        <f t="shared" si="439"/>
        <v>1523514.8737484859</v>
      </c>
      <c r="J433" s="5">
        <f t="shared" si="439"/>
        <v>1523514.8737484859</v>
      </c>
      <c r="K433" s="5">
        <f t="shared" si="439"/>
        <v>1523514.8737484859</v>
      </c>
    </row>
    <row r="434" spans="1:12" x14ac:dyDescent="0.25">
      <c r="A434" s="20" t="s">
        <v>14</v>
      </c>
      <c r="B434" s="5">
        <f t="shared" si="433"/>
        <v>0</v>
      </c>
      <c r="C434" s="5">
        <f t="shared" ref="C434:K434" si="440">(C420+C405)/2</f>
        <v>0</v>
      </c>
      <c r="D434" s="5">
        <f t="shared" si="440"/>
        <v>0</v>
      </c>
      <c r="E434" s="5">
        <f t="shared" si="440"/>
        <v>0</v>
      </c>
      <c r="F434" s="5">
        <f t="shared" si="440"/>
        <v>0</v>
      </c>
      <c r="G434" s="5">
        <f t="shared" si="440"/>
        <v>0</v>
      </c>
      <c r="H434" s="5">
        <f t="shared" si="440"/>
        <v>0</v>
      </c>
      <c r="I434" s="5">
        <f t="shared" si="440"/>
        <v>0</v>
      </c>
      <c r="J434" s="5">
        <f t="shared" si="440"/>
        <v>0</v>
      </c>
      <c r="K434" s="5">
        <f t="shared" si="440"/>
        <v>0</v>
      </c>
    </row>
    <row r="435" spans="1:12" x14ac:dyDescent="0.25">
      <c r="A435" s="20" t="s">
        <v>125</v>
      </c>
      <c r="B435" s="5">
        <f t="shared" si="433"/>
        <v>9332645.0149517357</v>
      </c>
      <c r="C435" s="5">
        <f t="shared" ref="C435:K435" si="441">(C421+C406)/2</f>
        <v>9332645.0149517357</v>
      </c>
      <c r="D435" s="5">
        <f t="shared" si="441"/>
        <v>9332645.0149517357</v>
      </c>
      <c r="E435" s="5">
        <f t="shared" si="441"/>
        <v>9332645.0149517357</v>
      </c>
      <c r="F435" s="5">
        <f t="shared" si="441"/>
        <v>9332645.0149517357</v>
      </c>
      <c r="G435" s="5">
        <f t="shared" si="441"/>
        <v>9332645.0149517357</v>
      </c>
      <c r="H435" s="5">
        <f t="shared" si="441"/>
        <v>9332645.0149517357</v>
      </c>
      <c r="I435" s="5">
        <f t="shared" si="441"/>
        <v>9332645.0149517357</v>
      </c>
      <c r="J435" s="5">
        <f t="shared" si="441"/>
        <v>9332645.0149517357</v>
      </c>
      <c r="K435" s="5">
        <f t="shared" si="441"/>
        <v>9332645.0149517357</v>
      </c>
    </row>
    <row r="436" spans="1:12" x14ac:dyDescent="0.25">
      <c r="A436" s="20" t="s">
        <v>37</v>
      </c>
      <c r="B436" s="5">
        <f t="shared" si="433"/>
        <v>12567910.885183757</v>
      </c>
      <c r="C436" s="5">
        <f t="shared" ref="C436:K436" si="442">(C422+C407)/2</f>
        <v>12567910.885183757</v>
      </c>
      <c r="D436" s="5">
        <f t="shared" si="442"/>
        <v>12567910.885183757</v>
      </c>
      <c r="E436" s="5">
        <f t="shared" si="442"/>
        <v>12567910.885183757</v>
      </c>
      <c r="F436" s="5">
        <f t="shared" si="442"/>
        <v>12567910.885183757</v>
      </c>
      <c r="G436" s="5">
        <f t="shared" si="442"/>
        <v>12567910.885183757</v>
      </c>
      <c r="H436" s="5">
        <f t="shared" si="442"/>
        <v>12567910.885183757</v>
      </c>
      <c r="I436" s="5">
        <f t="shared" si="442"/>
        <v>12567910.885183757</v>
      </c>
      <c r="J436" s="5">
        <f t="shared" si="442"/>
        <v>12567910.885183757</v>
      </c>
      <c r="K436" s="5">
        <f t="shared" si="442"/>
        <v>12567910.885183757</v>
      </c>
    </row>
    <row r="437" spans="1:12" x14ac:dyDescent="0.25">
      <c r="A437" s="20" t="s">
        <v>38</v>
      </c>
      <c r="B437" s="5">
        <f t="shared" si="433"/>
        <v>573809.22117185651</v>
      </c>
      <c r="C437" s="5">
        <f t="shared" ref="C437:K437" si="443">(C423+C408)/2</f>
        <v>573809.22117185651</v>
      </c>
      <c r="D437" s="5">
        <f t="shared" si="443"/>
        <v>573809.22117185651</v>
      </c>
      <c r="E437" s="5">
        <f t="shared" si="443"/>
        <v>573809.22117185651</v>
      </c>
      <c r="F437" s="5">
        <f t="shared" si="443"/>
        <v>573809.22117185651</v>
      </c>
      <c r="G437" s="5">
        <f t="shared" si="443"/>
        <v>573809.22117185651</v>
      </c>
      <c r="H437" s="5">
        <f t="shared" si="443"/>
        <v>573809.22117185651</v>
      </c>
      <c r="I437" s="5">
        <f t="shared" si="443"/>
        <v>573809.22117185651</v>
      </c>
      <c r="J437" s="5">
        <f t="shared" si="443"/>
        <v>573809.22117185651</v>
      </c>
      <c r="K437" s="5">
        <f t="shared" si="443"/>
        <v>573809.22117185651</v>
      </c>
    </row>
    <row r="438" spans="1:12" x14ac:dyDescent="0.25">
      <c r="A438" s="20" t="s">
        <v>15</v>
      </c>
      <c r="B438" s="13">
        <f t="shared" si="433"/>
        <v>8814269.3833230752</v>
      </c>
      <c r="C438" s="13">
        <f t="shared" ref="C438:K438" si="444">(C424+C409)/2</f>
        <v>8814269.3833230752</v>
      </c>
      <c r="D438" s="13">
        <f t="shared" si="444"/>
        <v>8814269.3833230752</v>
      </c>
      <c r="E438" s="13">
        <f t="shared" si="444"/>
        <v>8814269.3833230752</v>
      </c>
      <c r="F438" s="13">
        <f t="shared" si="444"/>
        <v>8814269.3833230752</v>
      </c>
      <c r="G438" s="13">
        <f t="shared" si="444"/>
        <v>8814269.3833230752</v>
      </c>
      <c r="H438" s="13">
        <f t="shared" si="444"/>
        <v>8814269.3833230752</v>
      </c>
      <c r="I438" s="13">
        <f t="shared" si="444"/>
        <v>8814269.3833230752</v>
      </c>
      <c r="J438" s="13">
        <f t="shared" si="444"/>
        <v>8814269.3833230752</v>
      </c>
      <c r="K438" s="13">
        <f t="shared" si="444"/>
        <v>8814269.3833230752</v>
      </c>
    </row>
    <row r="439" spans="1:12" x14ac:dyDescent="0.25">
      <c r="A439" s="5"/>
      <c r="B439" s="5">
        <f t="shared" ref="B439:K439" si="445">SUM(B428:B438)</f>
        <v>53993494.475275807</v>
      </c>
      <c r="C439" s="5">
        <f t="shared" si="445"/>
        <v>53993494.475275807</v>
      </c>
      <c r="D439" s="5">
        <f t="shared" si="445"/>
        <v>53993494.475275807</v>
      </c>
      <c r="E439" s="5">
        <f t="shared" si="445"/>
        <v>53993494.475275807</v>
      </c>
      <c r="F439" s="5">
        <f t="shared" si="445"/>
        <v>53993494.475275807</v>
      </c>
      <c r="G439" s="5">
        <f t="shared" si="445"/>
        <v>53993494.475275807</v>
      </c>
      <c r="H439" s="5">
        <f t="shared" si="445"/>
        <v>53993494.475275807</v>
      </c>
      <c r="I439" s="5">
        <f t="shared" si="445"/>
        <v>53993494.475275807</v>
      </c>
      <c r="J439" s="5">
        <f t="shared" si="445"/>
        <v>53993494.475275807</v>
      </c>
      <c r="K439" s="5">
        <f t="shared" si="445"/>
        <v>53993494.475275807</v>
      </c>
    </row>
    <row r="440" spans="1:12" x14ac:dyDescent="0.25">
      <c r="B440" s="16">
        <f>B439/B$396</f>
        <v>0.36872950423288414</v>
      </c>
      <c r="C440" s="16">
        <f t="shared" ref="C440" si="446">C439/C$396</f>
        <v>0.36872950423288414</v>
      </c>
      <c r="D440" s="16">
        <f t="shared" ref="D440" si="447">D439/D$396</f>
        <v>0.36872950423288414</v>
      </c>
      <c r="E440" s="16">
        <f t="shared" ref="E440" si="448">E439/E$396</f>
        <v>0.36872950423288414</v>
      </c>
      <c r="F440" s="16">
        <f t="shared" ref="F440" si="449">F439/F$396</f>
        <v>0.36872950423288414</v>
      </c>
      <c r="G440" s="16">
        <f t="shared" ref="G440" si="450">G439/G$396</f>
        <v>0.36872950423288414</v>
      </c>
      <c r="H440" s="16">
        <f t="shared" ref="H440" si="451">H439/H$396</f>
        <v>0.36872950423288414</v>
      </c>
      <c r="I440" s="16">
        <f t="shared" ref="I440" si="452">I439/I$396</f>
        <v>0.36872950423288414</v>
      </c>
      <c r="J440" s="16">
        <f t="shared" ref="J440" si="453">J439/J$396</f>
        <v>0.36872950423288414</v>
      </c>
      <c r="K440" s="16">
        <f t="shared" ref="K440" si="454">K439/K$396</f>
        <v>0.36872950423288414</v>
      </c>
    </row>
    <row r="441" spans="1:12" s="3" customFormat="1" x14ac:dyDescent="0.25">
      <c r="A441" s="2" t="s">
        <v>90</v>
      </c>
    </row>
    <row r="443" spans="1:12" x14ac:dyDescent="0.25">
      <c r="A443" s="1" t="s">
        <v>86</v>
      </c>
      <c r="B443" s="63" t="str">
        <f>'Summary dashboard'!$C$4</f>
        <v>2023</v>
      </c>
      <c r="C443" s="63">
        <f>B443+1</f>
        <v>2024</v>
      </c>
      <c r="D443" s="63">
        <f t="shared" ref="D443:K443" si="455">C443+1</f>
        <v>2025</v>
      </c>
      <c r="E443" s="63">
        <f t="shared" si="455"/>
        <v>2026</v>
      </c>
      <c r="F443" s="63">
        <f t="shared" si="455"/>
        <v>2027</v>
      </c>
      <c r="G443" s="63">
        <f t="shared" si="455"/>
        <v>2028</v>
      </c>
      <c r="H443" s="63">
        <f>G443+1</f>
        <v>2029</v>
      </c>
      <c r="I443" s="63">
        <f t="shared" si="455"/>
        <v>2030</v>
      </c>
      <c r="J443" s="63">
        <f t="shared" si="455"/>
        <v>2031</v>
      </c>
      <c r="K443" s="63">
        <f t="shared" si="455"/>
        <v>2032</v>
      </c>
      <c r="L443" s="63" t="s">
        <v>28</v>
      </c>
    </row>
    <row r="444" spans="1:12" x14ac:dyDescent="0.25">
      <c r="A444" s="20" t="s">
        <v>35</v>
      </c>
      <c r="B444" s="14">
        <f>B428+B357+B286+B215+B144+B73</f>
        <v>53303003.11122451</v>
      </c>
      <c r="C444" s="14">
        <f t="shared" ref="C444:K444" si="456">C428+C357+C286+C215+C144+C73</f>
        <v>53303003.11122451</v>
      </c>
      <c r="D444" s="14">
        <f t="shared" si="456"/>
        <v>53303003.11122451</v>
      </c>
      <c r="E444" s="14">
        <f t="shared" si="456"/>
        <v>53303003.11122451</v>
      </c>
      <c r="F444" s="14">
        <f t="shared" si="456"/>
        <v>53303003.11122451</v>
      </c>
      <c r="G444" s="14">
        <f t="shared" si="456"/>
        <v>53303003.11122451</v>
      </c>
      <c r="H444" s="14">
        <f t="shared" si="456"/>
        <v>53303003.11122451</v>
      </c>
      <c r="I444" s="14">
        <f t="shared" si="456"/>
        <v>53303003.11122451</v>
      </c>
      <c r="J444" s="14">
        <f t="shared" si="456"/>
        <v>53303003.11122451</v>
      </c>
      <c r="K444" s="14">
        <f t="shared" si="456"/>
        <v>53303003.11122451</v>
      </c>
      <c r="L444" s="14">
        <f>AVERAGE(B444:K444)</f>
        <v>53303003.111224517</v>
      </c>
    </row>
    <row r="445" spans="1:12" x14ac:dyDescent="0.25">
      <c r="A445" s="20" t="s">
        <v>36</v>
      </c>
      <c r="B445" s="14">
        <f t="shared" ref="B445:K445" si="457">B429+B358+B287+B216+B145+B74</f>
        <v>6462458.8824942103</v>
      </c>
      <c r="C445" s="14">
        <f t="shared" si="457"/>
        <v>6462458.8824942103</v>
      </c>
      <c r="D445" s="14">
        <f t="shared" si="457"/>
        <v>6462458.8824942103</v>
      </c>
      <c r="E445" s="14">
        <f t="shared" si="457"/>
        <v>6462458.8824942103</v>
      </c>
      <c r="F445" s="14">
        <f t="shared" si="457"/>
        <v>6462458.8824942103</v>
      </c>
      <c r="G445" s="14">
        <f t="shared" si="457"/>
        <v>6462458.8824942103</v>
      </c>
      <c r="H445" s="14">
        <f t="shared" si="457"/>
        <v>6462458.8824942103</v>
      </c>
      <c r="I445" s="14">
        <f t="shared" si="457"/>
        <v>6462458.8824942103</v>
      </c>
      <c r="J445" s="14">
        <f t="shared" si="457"/>
        <v>6462458.8824942103</v>
      </c>
      <c r="K445" s="14">
        <f t="shared" si="457"/>
        <v>6462458.8824942103</v>
      </c>
      <c r="L445" s="14">
        <f t="shared" ref="L445:L454" si="458">AVERAGE(B445:K445)</f>
        <v>6462458.8824942103</v>
      </c>
    </row>
    <row r="446" spans="1:12" x14ac:dyDescent="0.25">
      <c r="A446" s="20" t="s">
        <v>11</v>
      </c>
      <c r="B446" s="14">
        <f t="shared" ref="B446:K446" si="459">B430+B359+B288+B217+B146+B75</f>
        <v>0</v>
      </c>
      <c r="C446" s="14">
        <f t="shared" si="459"/>
        <v>0</v>
      </c>
      <c r="D446" s="14">
        <f t="shared" si="459"/>
        <v>0</v>
      </c>
      <c r="E446" s="14">
        <f t="shared" si="459"/>
        <v>0</v>
      </c>
      <c r="F446" s="14">
        <f t="shared" si="459"/>
        <v>0</v>
      </c>
      <c r="G446" s="14">
        <f t="shared" si="459"/>
        <v>0</v>
      </c>
      <c r="H446" s="14">
        <f t="shared" si="459"/>
        <v>0</v>
      </c>
      <c r="I446" s="14">
        <f t="shared" si="459"/>
        <v>0</v>
      </c>
      <c r="J446" s="14">
        <f t="shared" si="459"/>
        <v>0</v>
      </c>
      <c r="K446" s="14">
        <f t="shared" si="459"/>
        <v>0</v>
      </c>
      <c r="L446" s="14">
        <f t="shared" si="458"/>
        <v>0</v>
      </c>
    </row>
    <row r="447" spans="1:12" x14ac:dyDescent="0.25">
      <c r="A447" s="20" t="s">
        <v>124</v>
      </c>
      <c r="B447" s="14">
        <f t="shared" ref="B447:K447" si="460">B431+B360+B289+B218+B147+B76</f>
        <v>9270454.7760595009</v>
      </c>
      <c r="C447" s="14">
        <f t="shared" si="460"/>
        <v>9270454.7760595009</v>
      </c>
      <c r="D447" s="14">
        <f t="shared" si="460"/>
        <v>9270454.7760595009</v>
      </c>
      <c r="E447" s="14">
        <f t="shared" si="460"/>
        <v>9270454.7760595009</v>
      </c>
      <c r="F447" s="14">
        <f t="shared" si="460"/>
        <v>9270454.7760595009</v>
      </c>
      <c r="G447" s="14">
        <f t="shared" si="460"/>
        <v>9270454.7760595009</v>
      </c>
      <c r="H447" s="14">
        <f t="shared" si="460"/>
        <v>9270454.7760595009</v>
      </c>
      <c r="I447" s="14">
        <f t="shared" si="460"/>
        <v>9270454.7760595009</v>
      </c>
      <c r="J447" s="14">
        <f t="shared" si="460"/>
        <v>9270454.7760595009</v>
      </c>
      <c r="K447" s="14">
        <f t="shared" si="460"/>
        <v>9270454.7760595009</v>
      </c>
      <c r="L447" s="14">
        <f t="shared" si="458"/>
        <v>9270454.7760595027</v>
      </c>
    </row>
    <row r="448" spans="1:12" x14ac:dyDescent="0.25">
      <c r="A448" s="20" t="s">
        <v>12</v>
      </c>
      <c r="B448" s="14">
        <f t="shared" ref="B448:K448" si="461">B432+B361+B290+B219+B148+B77</f>
        <v>8772284.4172544777</v>
      </c>
      <c r="C448" s="14">
        <f t="shared" si="461"/>
        <v>8772284.4172544777</v>
      </c>
      <c r="D448" s="14">
        <f t="shared" si="461"/>
        <v>8772284.4172544777</v>
      </c>
      <c r="E448" s="14">
        <f t="shared" si="461"/>
        <v>8772284.4172544777</v>
      </c>
      <c r="F448" s="14">
        <f t="shared" si="461"/>
        <v>8772284.4172544777</v>
      </c>
      <c r="G448" s="14">
        <f t="shared" si="461"/>
        <v>8772284.4172544777</v>
      </c>
      <c r="H448" s="14">
        <f t="shared" si="461"/>
        <v>8772284.4172544777</v>
      </c>
      <c r="I448" s="14">
        <f t="shared" si="461"/>
        <v>8772284.4172544777</v>
      </c>
      <c r="J448" s="14">
        <f t="shared" si="461"/>
        <v>8772284.4172544777</v>
      </c>
      <c r="K448" s="14">
        <f t="shared" si="461"/>
        <v>8772284.4172544777</v>
      </c>
      <c r="L448" s="14">
        <f t="shared" si="458"/>
        <v>8772284.4172544777</v>
      </c>
    </row>
    <row r="449" spans="1:12" x14ac:dyDescent="0.25">
      <c r="A449" s="20" t="s">
        <v>13</v>
      </c>
      <c r="B449" s="14">
        <f t="shared" ref="B449:K449" si="462">B433+B362+B291+B220+B149+B78</f>
        <v>1523514.8737484859</v>
      </c>
      <c r="C449" s="14">
        <f t="shared" si="462"/>
        <v>1523514.8737484859</v>
      </c>
      <c r="D449" s="14">
        <f t="shared" si="462"/>
        <v>1523514.8737484859</v>
      </c>
      <c r="E449" s="14">
        <f t="shared" si="462"/>
        <v>1523514.8737484859</v>
      </c>
      <c r="F449" s="14">
        <f t="shared" si="462"/>
        <v>1523514.8737484859</v>
      </c>
      <c r="G449" s="14">
        <f t="shared" si="462"/>
        <v>1523514.8737484859</v>
      </c>
      <c r="H449" s="14">
        <f t="shared" si="462"/>
        <v>1523514.8737484859</v>
      </c>
      <c r="I449" s="14">
        <f t="shared" si="462"/>
        <v>1523514.8737484859</v>
      </c>
      <c r="J449" s="14">
        <f t="shared" si="462"/>
        <v>1523514.8737484859</v>
      </c>
      <c r="K449" s="14">
        <f t="shared" si="462"/>
        <v>1523514.8737484859</v>
      </c>
      <c r="L449" s="14">
        <f t="shared" si="458"/>
        <v>1523514.8737484857</v>
      </c>
    </row>
    <row r="450" spans="1:12" x14ac:dyDescent="0.25">
      <c r="A450" s="20" t="s">
        <v>14</v>
      </c>
      <c r="B450" s="14">
        <f t="shared" ref="B450:K450" si="463">B434+B363+B292+B221+B150+B79</f>
        <v>0</v>
      </c>
      <c r="C450" s="14">
        <f t="shared" si="463"/>
        <v>0</v>
      </c>
      <c r="D450" s="14">
        <f t="shared" si="463"/>
        <v>0</v>
      </c>
      <c r="E450" s="14">
        <f t="shared" si="463"/>
        <v>0</v>
      </c>
      <c r="F450" s="14">
        <f t="shared" si="463"/>
        <v>0</v>
      </c>
      <c r="G450" s="14">
        <f t="shared" si="463"/>
        <v>0</v>
      </c>
      <c r="H450" s="14">
        <f t="shared" si="463"/>
        <v>0</v>
      </c>
      <c r="I450" s="14">
        <f t="shared" si="463"/>
        <v>0</v>
      </c>
      <c r="J450" s="14">
        <f t="shared" si="463"/>
        <v>0</v>
      </c>
      <c r="K450" s="14">
        <f t="shared" si="463"/>
        <v>0</v>
      </c>
      <c r="L450" s="14">
        <f t="shared" si="458"/>
        <v>0</v>
      </c>
    </row>
    <row r="451" spans="1:12" x14ac:dyDescent="0.25">
      <c r="A451" s="20" t="s">
        <v>125</v>
      </c>
      <c r="B451" s="14">
        <f t="shared" ref="B451:K451" si="464">B435+B364+B293+B222+B151+B80</f>
        <v>9332645.0149517357</v>
      </c>
      <c r="C451" s="14">
        <f t="shared" si="464"/>
        <v>9332645.0149517357</v>
      </c>
      <c r="D451" s="14">
        <f t="shared" si="464"/>
        <v>9332645.0149517357</v>
      </c>
      <c r="E451" s="14">
        <f t="shared" si="464"/>
        <v>9332645.0149517357</v>
      </c>
      <c r="F451" s="14">
        <f t="shared" si="464"/>
        <v>9332645.0149517357</v>
      </c>
      <c r="G451" s="14">
        <f t="shared" si="464"/>
        <v>9332645.0149517357</v>
      </c>
      <c r="H451" s="14">
        <f t="shared" si="464"/>
        <v>9332645.0149517357</v>
      </c>
      <c r="I451" s="14">
        <f t="shared" si="464"/>
        <v>9332645.0149517357</v>
      </c>
      <c r="J451" s="14">
        <f t="shared" si="464"/>
        <v>9332645.0149517357</v>
      </c>
      <c r="K451" s="14">
        <f t="shared" si="464"/>
        <v>9332645.0149517357</v>
      </c>
      <c r="L451" s="14">
        <f t="shared" si="458"/>
        <v>9332645.0149517357</v>
      </c>
    </row>
    <row r="452" spans="1:12" x14ac:dyDescent="0.25">
      <c r="A452" s="20" t="s">
        <v>37</v>
      </c>
      <c r="B452" s="14">
        <f t="shared" ref="B452:K452" si="465">B436+B365+B294+B223+B152+B81</f>
        <v>100233180.17026624</v>
      </c>
      <c r="C452" s="14">
        <f t="shared" si="465"/>
        <v>100233180.17026624</v>
      </c>
      <c r="D452" s="14">
        <f t="shared" si="465"/>
        <v>100233180.17026624</v>
      </c>
      <c r="E452" s="14">
        <f t="shared" si="465"/>
        <v>100233180.17026624</v>
      </c>
      <c r="F452" s="14">
        <f t="shared" si="465"/>
        <v>100233180.17026624</v>
      </c>
      <c r="G452" s="14">
        <f t="shared" si="465"/>
        <v>100233180.17026624</v>
      </c>
      <c r="H452" s="14">
        <f t="shared" si="465"/>
        <v>100233180.17026624</v>
      </c>
      <c r="I452" s="14">
        <f t="shared" si="465"/>
        <v>100233180.17026624</v>
      </c>
      <c r="J452" s="14">
        <f t="shared" si="465"/>
        <v>100233180.17026624</v>
      </c>
      <c r="K452" s="14">
        <f t="shared" si="465"/>
        <v>100233180.17026624</v>
      </c>
      <c r="L452" s="14">
        <f t="shared" si="458"/>
        <v>100233180.17026626</v>
      </c>
    </row>
    <row r="453" spans="1:12" x14ac:dyDescent="0.25">
      <c r="A453" s="20" t="s">
        <v>38</v>
      </c>
      <c r="B453" s="14">
        <f t="shared" ref="B453:K453" si="466">B437+B366+B295+B224+B153+B82</f>
        <v>1960369.4865070442</v>
      </c>
      <c r="C453" s="14">
        <f t="shared" si="466"/>
        <v>1960369.4865070442</v>
      </c>
      <c r="D453" s="14">
        <f t="shared" si="466"/>
        <v>1960369.4865070442</v>
      </c>
      <c r="E453" s="14">
        <f t="shared" si="466"/>
        <v>1960369.4865070442</v>
      </c>
      <c r="F453" s="14">
        <f t="shared" si="466"/>
        <v>1960369.4865070442</v>
      </c>
      <c r="G453" s="14">
        <f t="shared" si="466"/>
        <v>1960369.4865070442</v>
      </c>
      <c r="H453" s="14">
        <f t="shared" si="466"/>
        <v>1960369.4865070442</v>
      </c>
      <c r="I453" s="14">
        <f t="shared" si="466"/>
        <v>1960369.4865070442</v>
      </c>
      <c r="J453" s="14">
        <f t="shared" si="466"/>
        <v>1960369.4865070442</v>
      </c>
      <c r="K453" s="14">
        <f t="shared" si="466"/>
        <v>1960369.4865070442</v>
      </c>
      <c r="L453" s="14">
        <f t="shared" si="458"/>
        <v>1960369.4865070437</v>
      </c>
    </row>
    <row r="454" spans="1:12" x14ac:dyDescent="0.25">
      <c r="A454" s="20" t="s">
        <v>15</v>
      </c>
      <c r="B454" s="60">
        <f t="shared" ref="B454:K454" si="467">B438+B367+B296+B225+B154+B83</f>
        <v>72224898.039353743</v>
      </c>
      <c r="C454" s="60">
        <f t="shared" si="467"/>
        <v>72224898.039353743</v>
      </c>
      <c r="D454" s="60">
        <f t="shared" si="467"/>
        <v>72224898.039353743</v>
      </c>
      <c r="E454" s="60">
        <f t="shared" si="467"/>
        <v>72224898.039353743</v>
      </c>
      <c r="F454" s="60">
        <f t="shared" si="467"/>
        <v>72224898.039353743</v>
      </c>
      <c r="G454" s="60">
        <f t="shared" si="467"/>
        <v>72224898.039353743</v>
      </c>
      <c r="H454" s="60">
        <f t="shared" si="467"/>
        <v>72224898.039353743</v>
      </c>
      <c r="I454" s="60">
        <f t="shared" si="467"/>
        <v>72224898.039353743</v>
      </c>
      <c r="J454" s="60">
        <f t="shared" si="467"/>
        <v>72224898.039353743</v>
      </c>
      <c r="K454" s="60">
        <f t="shared" si="467"/>
        <v>72224898.039353743</v>
      </c>
      <c r="L454" s="60">
        <f t="shared" si="458"/>
        <v>72224898.039353743</v>
      </c>
    </row>
    <row r="455" spans="1:12" x14ac:dyDescent="0.25">
      <c r="B455" s="14">
        <f>SUM(B444:B454)</f>
        <v>263082808.77185994</v>
      </c>
      <c r="C455" s="14">
        <f t="shared" ref="C455:K455" si="468">SUM(C444:C454)</f>
        <v>263082808.77185994</v>
      </c>
      <c r="D455" s="14">
        <f t="shared" si="468"/>
        <v>263082808.77185994</v>
      </c>
      <c r="E455" s="14">
        <f t="shared" si="468"/>
        <v>263082808.77185994</v>
      </c>
      <c r="F455" s="14">
        <f t="shared" si="468"/>
        <v>263082808.77185994</v>
      </c>
      <c r="G455" s="14">
        <f t="shared" si="468"/>
        <v>263082808.77185994</v>
      </c>
      <c r="H455" s="14">
        <f t="shared" si="468"/>
        <v>263082808.77185994</v>
      </c>
      <c r="I455" s="14">
        <f t="shared" si="468"/>
        <v>263082808.77185994</v>
      </c>
      <c r="J455" s="14">
        <f t="shared" si="468"/>
        <v>263082808.77185994</v>
      </c>
      <c r="K455" s="14">
        <f t="shared" si="468"/>
        <v>263082808.77185994</v>
      </c>
      <c r="L455" s="14">
        <f>SUM(L444:L454)</f>
        <v>263082808.77186</v>
      </c>
    </row>
    <row r="457" spans="1:12" s="3" customFormat="1" x14ac:dyDescent="0.25">
      <c r="A457" s="2" t="s">
        <v>87</v>
      </c>
      <c r="B457" s="2" t="str">
        <f>'CMA dashboard'!B2</f>
        <v>Vaal-Orange CMA</v>
      </c>
    </row>
    <row r="459" spans="1:12" x14ac:dyDescent="0.25">
      <c r="A459" s="1" t="s">
        <v>88</v>
      </c>
      <c r="B459" s="63" t="str">
        <f>'Summary dashboard'!$C$4</f>
        <v>2023</v>
      </c>
      <c r="C459" s="63">
        <f t="shared" ref="C459:K459" si="469">B459+1</f>
        <v>2024</v>
      </c>
      <c r="D459" s="63">
        <f t="shared" si="469"/>
        <v>2025</v>
      </c>
      <c r="E459" s="63">
        <f t="shared" si="469"/>
        <v>2026</v>
      </c>
      <c r="F459" s="63">
        <f t="shared" si="469"/>
        <v>2027</v>
      </c>
      <c r="G459" s="63">
        <f t="shared" si="469"/>
        <v>2028</v>
      </c>
      <c r="H459" s="63">
        <f t="shared" si="469"/>
        <v>2029</v>
      </c>
      <c r="I459" s="63">
        <f t="shared" si="469"/>
        <v>2030</v>
      </c>
      <c r="J459" s="63">
        <f t="shared" si="469"/>
        <v>2031</v>
      </c>
      <c r="K459" s="63">
        <f t="shared" si="469"/>
        <v>2032</v>
      </c>
    </row>
    <row r="460" spans="1:12" x14ac:dyDescent="0.25">
      <c r="A460" s="20" t="s">
        <v>35</v>
      </c>
      <c r="B460" s="14">
        <f t="shared" ref="B460:K460" si="470">IF($B$457=$A$15,B44,IF($B$457=$A$86,B115,IF($B$457=$A$157,B186,IF($B$457=$A$228,B257,IF($B$457=$A$299,B328,IF($B$457=$A$370,B399))))))</f>
        <v>7416720.6795220003</v>
      </c>
      <c r="C460" s="14">
        <f t="shared" si="470"/>
        <v>7416720.6795220003</v>
      </c>
      <c r="D460" s="14">
        <f t="shared" si="470"/>
        <v>7416720.6795220003</v>
      </c>
      <c r="E460" s="14">
        <f t="shared" si="470"/>
        <v>7416720.6795220003</v>
      </c>
      <c r="F460" s="14">
        <f t="shared" si="470"/>
        <v>7416720.6795220003</v>
      </c>
      <c r="G460" s="14">
        <f t="shared" si="470"/>
        <v>7416720.6795220003</v>
      </c>
      <c r="H460" s="14">
        <f t="shared" si="470"/>
        <v>7416720.6795220003</v>
      </c>
      <c r="I460" s="14">
        <f t="shared" si="470"/>
        <v>7416720.6795220003</v>
      </c>
      <c r="J460" s="14">
        <f t="shared" si="470"/>
        <v>7416720.6795220003</v>
      </c>
      <c r="K460" s="14">
        <f t="shared" si="470"/>
        <v>7416720.6795220003</v>
      </c>
    </row>
    <row r="461" spans="1:12" x14ac:dyDescent="0.25">
      <c r="A461" s="20" t="s">
        <v>36</v>
      </c>
      <c r="B461" s="14">
        <f t="shared" ref="B461:K461" si="471">IF($B$457=$A$15,B45,IF($B$457=$A$86,B116,IF($B$457=$A$157,B187,IF($B$457=$A$228,B258,IF($B$457=$A$299,B329,IF($B$457=$A$370,B400))))))</f>
        <v>2759053.3137000008</v>
      </c>
      <c r="C461" s="14">
        <f t="shared" si="471"/>
        <v>2759053.3137000008</v>
      </c>
      <c r="D461" s="14">
        <f t="shared" si="471"/>
        <v>2759053.3137000008</v>
      </c>
      <c r="E461" s="14">
        <f t="shared" si="471"/>
        <v>2759053.3137000008</v>
      </c>
      <c r="F461" s="14">
        <f t="shared" si="471"/>
        <v>2759053.3137000008</v>
      </c>
      <c r="G461" s="14">
        <f t="shared" si="471"/>
        <v>2759053.3137000008</v>
      </c>
      <c r="H461" s="14">
        <f t="shared" si="471"/>
        <v>2759053.3137000008</v>
      </c>
      <c r="I461" s="14">
        <f t="shared" si="471"/>
        <v>2759053.3137000008</v>
      </c>
      <c r="J461" s="14">
        <f t="shared" si="471"/>
        <v>2759053.3137000008</v>
      </c>
      <c r="K461" s="14">
        <f t="shared" si="471"/>
        <v>2759053.3137000008</v>
      </c>
    </row>
    <row r="462" spans="1:12" x14ac:dyDescent="0.25">
      <c r="A462" s="20" t="s">
        <v>11</v>
      </c>
      <c r="B462" s="14">
        <f t="shared" ref="B462:K462" si="472">IF($B$457=$A$15,B46,IF($B$457=$A$86,B117,IF($B$457=$A$157,B188,IF($B$457=$A$228,B259,IF($B$457=$A$299,B330,IF($B$457=$A$370,B401))))))</f>
        <v>0</v>
      </c>
      <c r="C462" s="14">
        <f t="shared" si="472"/>
        <v>0</v>
      </c>
      <c r="D462" s="14">
        <f t="shared" si="472"/>
        <v>0</v>
      </c>
      <c r="E462" s="14">
        <f t="shared" si="472"/>
        <v>0</v>
      </c>
      <c r="F462" s="14">
        <f t="shared" si="472"/>
        <v>0</v>
      </c>
      <c r="G462" s="14">
        <f t="shared" si="472"/>
        <v>0</v>
      </c>
      <c r="H462" s="14">
        <f t="shared" si="472"/>
        <v>0</v>
      </c>
      <c r="I462" s="14">
        <f t="shared" si="472"/>
        <v>0</v>
      </c>
      <c r="J462" s="14">
        <f t="shared" si="472"/>
        <v>0</v>
      </c>
      <c r="K462" s="14">
        <f t="shared" si="472"/>
        <v>0</v>
      </c>
    </row>
    <row r="463" spans="1:12" x14ac:dyDescent="0.25">
      <c r="A463" s="20" t="s">
        <v>124</v>
      </c>
      <c r="B463" s="14">
        <f t="shared" ref="B463:K463" si="473">IF($B$457=$A$15,B47,IF($B$457=$A$86,B118,IF($B$457=$A$157,B189,IF($B$457=$A$228,B260,IF($B$457=$A$299,B331,IF($B$457=$A$370,B402))))))</f>
        <v>4945191.5240000002</v>
      </c>
      <c r="C463" s="14">
        <f t="shared" si="473"/>
        <v>4945191.5240000002</v>
      </c>
      <c r="D463" s="14">
        <f t="shared" si="473"/>
        <v>4945191.5240000002</v>
      </c>
      <c r="E463" s="14">
        <f t="shared" si="473"/>
        <v>4945191.5240000002</v>
      </c>
      <c r="F463" s="14">
        <f t="shared" si="473"/>
        <v>4945191.5240000002</v>
      </c>
      <c r="G463" s="14">
        <f t="shared" si="473"/>
        <v>4945191.5240000002</v>
      </c>
      <c r="H463" s="14">
        <f t="shared" si="473"/>
        <v>4945191.5240000002</v>
      </c>
      <c r="I463" s="14">
        <f t="shared" si="473"/>
        <v>4945191.5240000002</v>
      </c>
      <c r="J463" s="14">
        <f t="shared" si="473"/>
        <v>4945191.5240000002</v>
      </c>
      <c r="K463" s="14">
        <f t="shared" si="473"/>
        <v>4945191.5240000002</v>
      </c>
    </row>
    <row r="464" spans="1:12" x14ac:dyDescent="0.25">
      <c r="A464" s="20" t="s">
        <v>12</v>
      </c>
      <c r="B464" s="14">
        <f t="shared" ref="B464:K464" si="474">IF($B$457=$A$15,B48,IF($B$457=$A$86,B119,IF($B$457=$A$157,B190,IF($B$457=$A$228,B261,IF($B$457=$A$299,B332,IF($B$457=$A$370,B403))))))</f>
        <v>4633987.658846668</v>
      </c>
      <c r="C464" s="14">
        <f t="shared" si="474"/>
        <v>4633987.658846668</v>
      </c>
      <c r="D464" s="14">
        <f t="shared" si="474"/>
        <v>4633987.658846668</v>
      </c>
      <c r="E464" s="14">
        <f t="shared" si="474"/>
        <v>4633987.658846668</v>
      </c>
      <c r="F464" s="14">
        <f t="shared" si="474"/>
        <v>4633987.658846668</v>
      </c>
      <c r="G464" s="14">
        <f t="shared" si="474"/>
        <v>4633987.658846668</v>
      </c>
      <c r="H464" s="14">
        <f t="shared" si="474"/>
        <v>4633987.658846668</v>
      </c>
      <c r="I464" s="14">
        <f t="shared" si="474"/>
        <v>4633987.658846668</v>
      </c>
      <c r="J464" s="14">
        <f t="shared" si="474"/>
        <v>4633987.658846668</v>
      </c>
      <c r="K464" s="14">
        <f t="shared" si="474"/>
        <v>4633987.658846668</v>
      </c>
    </row>
    <row r="465" spans="1:11" x14ac:dyDescent="0.25">
      <c r="A465" s="20" t="s">
        <v>13</v>
      </c>
      <c r="B465" s="14">
        <f t="shared" ref="B465:K465" si="475">IF($B$457=$A$15,B49,IF($B$457=$A$86,B120,IF($B$457=$A$157,B191,IF($B$457=$A$228,B262,IF($B$457=$A$299,B333,IF($B$457=$A$370,B404))))))</f>
        <v>0</v>
      </c>
      <c r="C465" s="14">
        <f t="shared" si="475"/>
        <v>0</v>
      </c>
      <c r="D465" s="14">
        <f t="shared" si="475"/>
        <v>0</v>
      </c>
      <c r="E465" s="14">
        <f t="shared" si="475"/>
        <v>0</v>
      </c>
      <c r="F465" s="14">
        <f t="shared" si="475"/>
        <v>0</v>
      </c>
      <c r="G465" s="14">
        <f t="shared" si="475"/>
        <v>0</v>
      </c>
      <c r="H465" s="14">
        <f t="shared" si="475"/>
        <v>0</v>
      </c>
      <c r="I465" s="14">
        <f t="shared" si="475"/>
        <v>0</v>
      </c>
      <c r="J465" s="14">
        <f t="shared" si="475"/>
        <v>0</v>
      </c>
      <c r="K465" s="14">
        <f t="shared" si="475"/>
        <v>0</v>
      </c>
    </row>
    <row r="466" spans="1:11" x14ac:dyDescent="0.25">
      <c r="A466" s="20" t="s">
        <v>14</v>
      </c>
      <c r="B466" s="14">
        <f t="shared" ref="B466:K466" si="476">IF($B$457=$A$15,B50,IF($B$457=$A$86,B121,IF($B$457=$A$157,B192,IF($B$457=$A$228,B263,IF($B$457=$A$299,B334,IF($B$457=$A$370,B405))))))</f>
        <v>0</v>
      </c>
      <c r="C466" s="14">
        <f t="shared" si="476"/>
        <v>0</v>
      </c>
      <c r="D466" s="14">
        <f t="shared" si="476"/>
        <v>0</v>
      </c>
      <c r="E466" s="14">
        <f t="shared" si="476"/>
        <v>0</v>
      </c>
      <c r="F466" s="14">
        <f t="shared" si="476"/>
        <v>0</v>
      </c>
      <c r="G466" s="14">
        <f t="shared" si="476"/>
        <v>0</v>
      </c>
      <c r="H466" s="14">
        <f t="shared" si="476"/>
        <v>0</v>
      </c>
      <c r="I466" s="14">
        <f t="shared" si="476"/>
        <v>0</v>
      </c>
      <c r="J466" s="14">
        <f t="shared" si="476"/>
        <v>0</v>
      </c>
      <c r="K466" s="14">
        <f t="shared" si="476"/>
        <v>0</v>
      </c>
    </row>
    <row r="467" spans="1:11" x14ac:dyDescent="0.25">
      <c r="A467" s="20" t="s">
        <v>125</v>
      </c>
      <c r="B467" s="14">
        <f t="shared" ref="B467:K467" si="477">IF($B$457=$A$15,B51,IF($B$457=$A$86,B122,IF($B$457=$A$157,B193,IF($B$457=$A$228,B264,IF($B$457=$A$299,B335,IF($B$457=$A$370,B406))))))</f>
        <v>0</v>
      </c>
      <c r="C467" s="14">
        <f t="shared" si="477"/>
        <v>0</v>
      </c>
      <c r="D467" s="14">
        <f t="shared" si="477"/>
        <v>0</v>
      </c>
      <c r="E467" s="14">
        <f t="shared" si="477"/>
        <v>0</v>
      </c>
      <c r="F467" s="14">
        <f t="shared" si="477"/>
        <v>0</v>
      </c>
      <c r="G467" s="14">
        <f t="shared" si="477"/>
        <v>0</v>
      </c>
      <c r="H467" s="14">
        <f t="shared" si="477"/>
        <v>0</v>
      </c>
      <c r="I467" s="14">
        <f t="shared" si="477"/>
        <v>0</v>
      </c>
      <c r="J467" s="14">
        <f t="shared" si="477"/>
        <v>0</v>
      </c>
      <c r="K467" s="14">
        <f t="shared" si="477"/>
        <v>0</v>
      </c>
    </row>
    <row r="468" spans="1:11" x14ac:dyDescent="0.25">
      <c r="A468" s="20" t="s">
        <v>37</v>
      </c>
      <c r="B468" s="14">
        <f t="shared" ref="B468:K468" si="478">IF($B$457=$A$15,B52,IF($B$457=$A$86,B123,IF($B$457=$A$157,B194,IF($B$457=$A$228,B265,IF($B$457=$A$299,B336,IF($B$457=$A$370,B407))))))</f>
        <v>23792523.409871995</v>
      </c>
      <c r="C468" s="14">
        <f t="shared" si="478"/>
        <v>23792523.409871995</v>
      </c>
      <c r="D468" s="14">
        <f t="shared" si="478"/>
        <v>23792523.409871995</v>
      </c>
      <c r="E468" s="14">
        <f t="shared" si="478"/>
        <v>23792523.409871995</v>
      </c>
      <c r="F468" s="14">
        <f t="shared" si="478"/>
        <v>23792523.409871995</v>
      </c>
      <c r="G468" s="14">
        <f t="shared" si="478"/>
        <v>23792523.409871995</v>
      </c>
      <c r="H468" s="14">
        <f t="shared" si="478"/>
        <v>23792523.409871995</v>
      </c>
      <c r="I468" s="14">
        <f t="shared" si="478"/>
        <v>23792523.409871995</v>
      </c>
      <c r="J468" s="14">
        <f t="shared" si="478"/>
        <v>23792523.409871995</v>
      </c>
      <c r="K468" s="14">
        <f t="shared" si="478"/>
        <v>23792523.409871995</v>
      </c>
    </row>
    <row r="469" spans="1:11" x14ac:dyDescent="0.25">
      <c r="A469" s="20" t="s">
        <v>38</v>
      </c>
      <c r="B469" s="14">
        <f t="shared" ref="B469:K469" si="479">IF($B$457=$A$15,B53,IF($B$457=$A$86,B124,IF($B$457=$A$157,B195,IF($B$457=$A$228,B266,IF($B$457=$A$299,B337,IF($B$457=$A$370,B408))))))</f>
        <v>1488478.9340000006</v>
      </c>
      <c r="C469" s="14">
        <f t="shared" si="479"/>
        <v>1488478.9340000006</v>
      </c>
      <c r="D469" s="14">
        <f t="shared" si="479"/>
        <v>1488478.9340000006</v>
      </c>
      <c r="E469" s="14">
        <f t="shared" si="479"/>
        <v>1488478.9340000006</v>
      </c>
      <c r="F469" s="14">
        <f t="shared" si="479"/>
        <v>1488478.9340000006</v>
      </c>
      <c r="G469" s="14">
        <f t="shared" si="479"/>
        <v>1488478.9340000006</v>
      </c>
      <c r="H469" s="14">
        <f t="shared" si="479"/>
        <v>1488478.9340000006</v>
      </c>
      <c r="I469" s="14">
        <f t="shared" si="479"/>
        <v>1488478.9340000006</v>
      </c>
      <c r="J469" s="14">
        <f t="shared" si="479"/>
        <v>1488478.9340000006</v>
      </c>
      <c r="K469" s="14">
        <f t="shared" si="479"/>
        <v>1488478.9340000006</v>
      </c>
    </row>
    <row r="470" spans="1:11" x14ac:dyDescent="0.25">
      <c r="A470" s="20" t="s">
        <v>15</v>
      </c>
      <c r="B470" s="60">
        <f t="shared" ref="B470:K470" si="480">IF($B$457=$A$15,B54,IF($B$457=$A$86,B125,IF($B$457=$A$157,B196,IF($B$457=$A$228,B267,IF($B$457=$A$299,B338,IF($B$457=$A$370,B409))))))</f>
        <v>21987819.215</v>
      </c>
      <c r="C470" s="60">
        <f t="shared" si="480"/>
        <v>21987819.215</v>
      </c>
      <c r="D470" s="60">
        <f t="shared" si="480"/>
        <v>21987819.215</v>
      </c>
      <c r="E470" s="60">
        <f t="shared" si="480"/>
        <v>21987819.215</v>
      </c>
      <c r="F470" s="60">
        <f t="shared" si="480"/>
        <v>21987819.215</v>
      </c>
      <c r="G470" s="60">
        <f t="shared" si="480"/>
        <v>21987819.215</v>
      </c>
      <c r="H470" s="60">
        <f t="shared" si="480"/>
        <v>21987819.215</v>
      </c>
      <c r="I470" s="60">
        <f t="shared" si="480"/>
        <v>21987819.215</v>
      </c>
      <c r="J470" s="60">
        <f t="shared" si="480"/>
        <v>21987819.215</v>
      </c>
      <c r="K470" s="60">
        <f t="shared" si="480"/>
        <v>21987819.215</v>
      </c>
    </row>
    <row r="471" spans="1:11" x14ac:dyDescent="0.25">
      <c r="B471" s="14">
        <f>SUM(B460:B470)</f>
        <v>67023774.734940663</v>
      </c>
      <c r="C471" s="14">
        <f t="shared" ref="C471:K471" si="481">SUM(C460:C470)</f>
        <v>67023774.734940663</v>
      </c>
      <c r="D471" s="14">
        <f t="shared" si="481"/>
        <v>67023774.734940663</v>
      </c>
      <c r="E471" s="14">
        <f t="shared" si="481"/>
        <v>67023774.734940663</v>
      </c>
      <c r="F471" s="14">
        <f t="shared" si="481"/>
        <v>67023774.734940663</v>
      </c>
      <c r="G471" s="14">
        <f t="shared" si="481"/>
        <v>67023774.734940663</v>
      </c>
      <c r="H471" s="14">
        <f t="shared" si="481"/>
        <v>67023774.734940663</v>
      </c>
      <c r="I471" s="14">
        <f t="shared" si="481"/>
        <v>67023774.734940663</v>
      </c>
      <c r="J471" s="14">
        <f t="shared" si="481"/>
        <v>67023774.734940663</v>
      </c>
      <c r="K471" s="14">
        <f t="shared" si="481"/>
        <v>67023774.734940663</v>
      </c>
    </row>
    <row r="472" spans="1:11" x14ac:dyDescent="0.25">
      <c r="B472" s="16">
        <f t="shared" ref="B472:K472" si="482">IF($B$457=$A$15,B56,IF($B$457=$A$86,B127,IF($B$457=$A$157,B198,IF($B$457=$A$228,B269,IF($B$457=$A$299,B340,IF($B$457=$A$370,B411))))))</f>
        <v>0.37449608316971372</v>
      </c>
      <c r="C472" s="16">
        <f t="shared" si="482"/>
        <v>0.37449608316971372</v>
      </c>
      <c r="D472" s="16">
        <f t="shared" si="482"/>
        <v>0.37449608316971372</v>
      </c>
      <c r="E472" s="16">
        <f t="shared" si="482"/>
        <v>0.37449608316971372</v>
      </c>
      <c r="F472" s="16">
        <f t="shared" si="482"/>
        <v>0.37449608316971372</v>
      </c>
      <c r="G472" s="16">
        <f t="shared" si="482"/>
        <v>0.37449608316971372</v>
      </c>
      <c r="H472" s="16">
        <f t="shared" si="482"/>
        <v>0.37449608316971372</v>
      </c>
      <c r="I472" s="16">
        <f t="shared" si="482"/>
        <v>0.37449608316971372</v>
      </c>
      <c r="J472" s="16">
        <f t="shared" si="482"/>
        <v>0.37449608316971372</v>
      </c>
      <c r="K472" s="16">
        <f t="shared" si="482"/>
        <v>0.37449608316971372</v>
      </c>
    </row>
    <row r="473" spans="1:11" x14ac:dyDescent="0.25">
      <c r="A473" s="1" t="s">
        <v>89</v>
      </c>
    </row>
    <row r="474" spans="1:11" x14ac:dyDescent="0.25">
      <c r="A474" s="20" t="s">
        <v>35</v>
      </c>
      <c r="B474" s="14">
        <f t="shared" ref="B474:K474" si="483">IF($B$457=$A$15,B59,IF($B$457=$A$86,B130,IF($B$457=$A$157,B201,IF($B$457=$A$228,B272,IF($B$457=$A$299,B343,IF($B$457=$A$370,B414))))))</f>
        <v>5490299.7238020003</v>
      </c>
      <c r="C474" s="14">
        <f t="shared" si="483"/>
        <v>5490299.7238020003</v>
      </c>
      <c r="D474" s="14">
        <f t="shared" si="483"/>
        <v>5490299.7238020003</v>
      </c>
      <c r="E474" s="14">
        <f t="shared" si="483"/>
        <v>5490299.7238020003</v>
      </c>
      <c r="F474" s="14">
        <f t="shared" si="483"/>
        <v>5490299.7238020003</v>
      </c>
      <c r="G474" s="14">
        <f t="shared" si="483"/>
        <v>5490299.7238020003</v>
      </c>
      <c r="H474" s="14">
        <f t="shared" si="483"/>
        <v>5490299.7238020003</v>
      </c>
      <c r="I474" s="14">
        <f t="shared" si="483"/>
        <v>5490299.7238020003</v>
      </c>
      <c r="J474" s="14">
        <f t="shared" si="483"/>
        <v>5490299.7238020003</v>
      </c>
      <c r="K474" s="14">
        <f t="shared" si="483"/>
        <v>5490299.7238020003</v>
      </c>
    </row>
    <row r="475" spans="1:11" x14ac:dyDescent="0.25">
      <c r="A475" s="20" t="s">
        <v>36</v>
      </c>
      <c r="B475" s="14">
        <f t="shared" ref="B475:K475" si="484">IF($B$457=$A$15,B60,IF($B$457=$A$86,B131,IF($B$457=$A$157,B202,IF($B$457=$A$228,B273,IF($B$457=$A$299,B344,IF($B$457=$A$370,B415))))))</f>
        <v>919684.43790000014</v>
      </c>
      <c r="C475" s="14">
        <f t="shared" si="484"/>
        <v>919684.43790000014</v>
      </c>
      <c r="D475" s="14">
        <f t="shared" si="484"/>
        <v>919684.43790000014</v>
      </c>
      <c r="E475" s="14">
        <f t="shared" si="484"/>
        <v>919684.43790000014</v>
      </c>
      <c r="F475" s="14">
        <f t="shared" si="484"/>
        <v>919684.43790000014</v>
      </c>
      <c r="G475" s="14">
        <f t="shared" si="484"/>
        <v>919684.43790000014</v>
      </c>
      <c r="H475" s="14">
        <f t="shared" si="484"/>
        <v>919684.43790000014</v>
      </c>
      <c r="I475" s="14">
        <f t="shared" si="484"/>
        <v>919684.43790000014</v>
      </c>
      <c r="J475" s="14">
        <f t="shared" si="484"/>
        <v>919684.43790000014</v>
      </c>
      <c r="K475" s="14">
        <f t="shared" si="484"/>
        <v>919684.43790000014</v>
      </c>
    </row>
    <row r="476" spans="1:11" x14ac:dyDescent="0.25">
      <c r="A476" s="20" t="s">
        <v>11</v>
      </c>
      <c r="B476" s="14">
        <f t="shared" ref="B476:K476" si="485">IF($B$457=$A$15,B61,IF($B$457=$A$86,B132,IF($B$457=$A$157,B203,IF($B$457=$A$228,B274,IF($B$457=$A$299,B345,IF($B$457=$A$370,B416))))))</f>
        <v>0</v>
      </c>
      <c r="C476" s="14">
        <f t="shared" si="485"/>
        <v>0</v>
      </c>
      <c r="D476" s="14">
        <f t="shared" si="485"/>
        <v>0</v>
      </c>
      <c r="E476" s="14">
        <f t="shared" si="485"/>
        <v>0</v>
      </c>
      <c r="F476" s="14">
        <f t="shared" si="485"/>
        <v>0</v>
      </c>
      <c r="G476" s="14">
        <f t="shared" si="485"/>
        <v>0</v>
      </c>
      <c r="H476" s="14">
        <f t="shared" si="485"/>
        <v>0</v>
      </c>
      <c r="I476" s="14">
        <f t="shared" si="485"/>
        <v>0</v>
      </c>
      <c r="J476" s="14">
        <f t="shared" si="485"/>
        <v>0</v>
      </c>
      <c r="K476" s="14">
        <f t="shared" si="485"/>
        <v>0</v>
      </c>
    </row>
    <row r="477" spans="1:11" x14ac:dyDescent="0.25">
      <c r="A477" s="20" t="s">
        <v>124</v>
      </c>
      <c r="B477" s="14">
        <f t="shared" ref="B477:K477" si="486">IF($B$457=$A$15,B62,IF($B$457=$A$86,B133,IF($B$457=$A$157,B204,IF($B$457=$A$228,B275,IF($B$457=$A$299,B346,IF($B$457=$A$370,B417))))))</f>
        <v>3708893.6430000006</v>
      </c>
      <c r="C477" s="14">
        <f t="shared" si="486"/>
        <v>3708893.6430000006</v>
      </c>
      <c r="D477" s="14">
        <f t="shared" si="486"/>
        <v>3708893.6430000006</v>
      </c>
      <c r="E477" s="14">
        <f t="shared" si="486"/>
        <v>3708893.6430000006</v>
      </c>
      <c r="F477" s="14">
        <f t="shared" si="486"/>
        <v>3708893.6430000006</v>
      </c>
      <c r="G477" s="14">
        <f t="shared" si="486"/>
        <v>3708893.6430000006</v>
      </c>
      <c r="H477" s="14">
        <f t="shared" si="486"/>
        <v>3708893.6430000006</v>
      </c>
      <c r="I477" s="14">
        <f t="shared" si="486"/>
        <v>3708893.6430000006</v>
      </c>
      <c r="J477" s="14">
        <f t="shared" si="486"/>
        <v>3708893.6430000006</v>
      </c>
      <c r="K477" s="14">
        <f t="shared" si="486"/>
        <v>3708893.6430000006</v>
      </c>
    </row>
    <row r="478" spans="1:11" x14ac:dyDescent="0.25">
      <c r="A478" s="20" t="s">
        <v>12</v>
      </c>
      <c r="B478" s="14">
        <f t="shared" ref="B478:K478" si="487">IF($B$457=$A$15,B63,IF($B$457=$A$86,B134,IF($B$457=$A$157,B205,IF($B$457=$A$228,B276,IF($B$457=$A$299,B347,IF($B$457=$A$370,B418))))))</f>
        <v>0</v>
      </c>
      <c r="C478" s="14">
        <f t="shared" si="487"/>
        <v>0</v>
      </c>
      <c r="D478" s="14">
        <f t="shared" si="487"/>
        <v>0</v>
      </c>
      <c r="E478" s="14">
        <f t="shared" si="487"/>
        <v>0</v>
      </c>
      <c r="F478" s="14">
        <f t="shared" si="487"/>
        <v>0</v>
      </c>
      <c r="G478" s="14">
        <f t="shared" si="487"/>
        <v>0</v>
      </c>
      <c r="H478" s="14">
        <f t="shared" si="487"/>
        <v>0</v>
      </c>
      <c r="I478" s="14">
        <f t="shared" si="487"/>
        <v>0</v>
      </c>
      <c r="J478" s="14">
        <f t="shared" si="487"/>
        <v>0</v>
      </c>
      <c r="K478" s="14">
        <f t="shared" si="487"/>
        <v>0</v>
      </c>
    </row>
    <row r="479" spans="1:11" x14ac:dyDescent="0.25">
      <c r="A479" s="20" t="s">
        <v>13</v>
      </c>
      <c r="B479" s="14">
        <f t="shared" ref="B479:K479" si="488">IF($B$457=$A$15,B64,IF($B$457=$A$86,B135,IF($B$457=$A$157,B206,IF($B$457=$A$228,B277,IF($B$457=$A$299,B348,IF($B$457=$A$370,B419))))))</f>
        <v>0</v>
      </c>
      <c r="C479" s="14">
        <f t="shared" si="488"/>
        <v>0</v>
      </c>
      <c r="D479" s="14">
        <f t="shared" si="488"/>
        <v>0</v>
      </c>
      <c r="E479" s="14">
        <f t="shared" si="488"/>
        <v>0</v>
      </c>
      <c r="F479" s="14">
        <f t="shared" si="488"/>
        <v>0</v>
      </c>
      <c r="G479" s="14">
        <f t="shared" si="488"/>
        <v>0</v>
      </c>
      <c r="H479" s="14">
        <f t="shared" si="488"/>
        <v>0</v>
      </c>
      <c r="I479" s="14">
        <f t="shared" si="488"/>
        <v>0</v>
      </c>
      <c r="J479" s="14">
        <f t="shared" si="488"/>
        <v>0</v>
      </c>
      <c r="K479" s="14">
        <f t="shared" si="488"/>
        <v>0</v>
      </c>
    </row>
    <row r="480" spans="1:11" x14ac:dyDescent="0.25">
      <c r="A480" s="20" t="s">
        <v>14</v>
      </c>
      <c r="B480" s="14">
        <f t="shared" ref="B480:K480" si="489">IF($B$457=$A$15,B65,IF($B$457=$A$86,B136,IF($B$457=$A$157,B207,IF($B$457=$A$228,B278,IF($B$457=$A$299,B349,IF($B$457=$A$370,B420))))))</f>
        <v>0</v>
      </c>
      <c r="C480" s="14">
        <f t="shared" si="489"/>
        <v>0</v>
      </c>
      <c r="D480" s="14">
        <f t="shared" si="489"/>
        <v>0</v>
      </c>
      <c r="E480" s="14">
        <f t="shared" si="489"/>
        <v>0</v>
      </c>
      <c r="F480" s="14">
        <f t="shared" si="489"/>
        <v>0</v>
      </c>
      <c r="G480" s="14">
        <f t="shared" si="489"/>
        <v>0</v>
      </c>
      <c r="H480" s="14">
        <f t="shared" si="489"/>
        <v>0</v>
      </c>
      <c r="I480" s="14">
        <f t="shared" si="489"/>
        <v>0</v>
      </c>
      <c r="J480" s="14">
        <f t="shared" si="489"/>
        <v>0</v>
      </c>
      <c r="K480" s="14">
        <f t="shared" si="489"/>
        <v>0</v>
      </c>
    </row>
    <row r="481" spans="1:11" x14ac:dyDescent="0.25">
      <c r="A481" s="20" t="s">
        <v>125</v>
      </c>
      <c r="B481" s="14">
        <f t="shared" ref="B481:K481" si="490">IF($B$457=$A$15,B66,IF($B$457=$A$86,B137,IF($B$457=$A$157,B208,IF($B$457=$A$228,B279,IF($B$457=$A$299,B350,IF($B$457=$A$370,B421))))))</f>
        <v>0</v>
      </c>
      <c r="C481" s="14">
        <f t="shared" si="490"/>
        <v>0</v>
      </c>
      <c r="D481" s="14">
        <f t="shared" si="490"/>
        <v>0</v>
      </c>
      <c r="E481" s="14">
        <f t="shared" si="490"/>
        <v>0</v>
      </c>
      <c r="F481" s="14">
        <f t="shared" si="490"/>
        <v>0</v>
      </c>
      <c r="G481" s="14">
        <f t="shared" si="490"/>
        <v>0</v>
      </c>
      <c r="H481" s="14">
        <f t="shared" si="490"/>
        <v>0</v>
      </c>
      <c r="I481" s="14">
        <f t="shared" si="490"/>
        <v>0</v>
      </c>
      <c r="J481" s="14">
        <f t="shared" si="490"/>
        <v>0</v>
      </c>
      <c r="K481" s="14">
        <f t="shared" si="490"/>
        <v>0</v>
      </c>
    </row>
    <row r="482" spans="1:11" x14ac:dyDescent="0.25">
      <c r="A482" s="20" t="s">
        <v>37</v>
      </c>
      <c r="B482" s="14">
        <f t="shared" ref="B482:K482" si="491">IF($B$457=$A$15,B67,IF($B$457=$A$86,B138,IF($B$457=$A$157,B209,IF($B$457=$A$228,B280,IF($B$457=$A$299,B351,IF($B$457=$A$370,B422))))))</f>
        <v>16239341.374992</v>
      </c>
      <c r="C482" s="14">
        <f t="shared" si="491"/>
        <v>16239341.374992</v>
      </c>
      <c r="D482" s="14">
        <f t="shared" si="491"/>
        <v>16239341.374992</v>
      </c>
      <c r="E482" s="14">
        <f t="shared" si="491"/>
        <v>16239341.374992</v>
      </c>
      <c r="F482" s="14">
        <f t="shared" si="491"/>
        <v>16239341.374992</v>
      </c>
      <c r="G482" s="14">
        <f t="shared" si="491"/>
        <v>16239341.374992</v>
      </c>
      <c r="H482" s="14">
        <f t="shared" si="491"/>
        <v>16239341.374992</v>
      </c>
      <c r="I482" s="14">
        <f t="shared" si="491"/>
        <v>16239341.374992</v>
      </c>
      <c r="J482" s="14">
        <f t="shared" si="491"/>
        <v>16239341.374992</v>
      </c>
      <c r="K482" s="14">
        <f t="shared" si="491"/>
        <v>16239341.374992</v>
      </c>
    </row>
    <row r="483" spans="1:11" x14ac:dyDescent="0.25">
      <c r="A483" s="20" t="s">
        <v>38</v>
      </c>
      <c r="B483" s="14">
        <f t="shared" ref="B483:K483" si="492">IF($B$457=$A$15,B68,IF($B$457=$A$86,B139,IF($B$457=$A$157,B210,IF($B$457=$A$228,B281,IF($B$457=$A$299,B352,IF($B$457=$A$370,B423))))))</f>
        <v>0</v>
      </c>
      <c r="C483" s="14">
        <f t="shared" si="492"/>
        <v>0</v>
      </c>
      <c r="D483" s="14">
        <f t="shared" si="492"/>
        <v>0</v>
      </c>
      <c r="E483" s="14">
        <f t="shared" si="492"/>
        <v>0</v>
      </c>
      <c r="F483" s="14">
        <f t="shared" si="492"/>
        <v>0</v>
      </c>
      <c r="G483" s="14">
        <f t="shared" si="492"/>
        <v>0</v>
      </c>
      <c r="H483" s="14">
        <f t="shared" si="492"/>
        <v>0</v>
      </c>
      <c r="I483" s="14">
        <f t="shared" si="492"/>
        <v>0</v>
      </c>
      <c r="J483" s="14">
        <f t="shared" si="492"/>
        <v>0</v>
      </c>
      <c r="K483" s="14">
        <f t="shared" si="492"/>
        <v>0</v>
      </c>
    </row>
    <row r="484" spans="1:11" x14ac:dyDescent="0.25">
      <c r="A484" s="20" t="s">
        <v>15</v>
      </c>
      <c r="B484" s="60">
        <f t="shared" ref="B484:K484" si="493">IF($B$457=$A$15,B69,IF($B$457=$A$86,B140,IF($B$457=$A$157,B211,IF($B$457=$A$228,B282,IF($B$457=$A$299,B353,IF($B$457=$A$370,B424))))))</f>
        <v>10993909.607499998</v>
      </c>
      <c r="C484" s="60">
        <f t="shared" si="493"/>
        <v>10993909.607499998</v>
      </c>
      <c r="D484" s="60">
        <f t="shared" si="493"/>
        <v>10993909.607499998</v>
      </c>
      <c r="E484" s="60">
        <f t="shared" si="493"/>
        <v>10993909.607499998</v>
      </c>
      <c r="F484" s="60">
        <f t="shared" si="493"/>
        <v>10993909.607499998</v>
      </c>
      <c r="G484" s="60">
        <f t="shared" si="493"/>
        <v>10993909.607499998</v>
      </c>
      <c r="H484" s="60">
        <f t="shared" si="493"/>
        <v>10993909.607499998</v>
      </c>
      <c r="I484" s="60">
        <f t="shared" si="493"/>
        <v>10993909.607499998</v>
      </c>
      <c r="J484" s="60">
        <f t="shared" si="493"/>
        <v>10993909.607499998</v>
      </c>
      <c r="K484" s="60">
        <f t="shared" si="493"/>
        <v>10993909.607499998</v>
      </c>
    </row>
    <row r="485" spans="1:11" x14ac:dyDescent="0.25">
      <c r="B485" s="14">
        <f>SUM(B474:B484)</f>
        <v>37352128.787193999</v>
      </c>
      <c r="C485" s="14">
        <f t="shared" ref="C485" si="494">SUM(C474:C484)</f>
        <v>37352128.787193999</v>
      </c>
      <c r="D485" s="14">
        <f t="shared" ref="D485" si="495">SUM(D474:D484)</f>
        <v>37352128.787193999</v>
      </c>
      <c r="E485" s="14">
        <f t="shared" ref="E485" si="496">SUM(E474:E484)</f>
        <v>37352128.787193999</v>
      </c>
      <c r="F485" s="14">
        <f t="shared" ref="F485" si="497">SUM(F474:F484)</f>
        <v>37352128.787193999</v>
      </c>
      <c r="G485" s="14">
        <f t="shared" ref="G485" si="498">SUM(G474:G484)</f>
        <v>37352128.787193999</v>
      </c>
      <c r="H485" s="14">
        <f t="shared" ref="H485" si="499">SUM(H474:H484)</f>
        <v>37352128.787193999</v>
      </c>
      <c r="I485" s="14">
        <f t="shared" ref="I485" si="500">SUM(I474:I484)</f>
        <v>37352128.787193999</v>
      </c>
      <c r="J485" s="14">
        <f t="shared" ref="J485" si="501">SUM(J474:J484)</f>
        <v>37352128.787193999</v>
      </c>
      <c r="K485" s="14">
        <f t="shared" ref="K485" si="502">SUM(K474:K484)</f>
        <v>37352128.787193999</v>
      </c>
    </row>
    <row r="486" spans="1:11" x14ac:dyDescent="0.25">
      <c r="B486" s="16">
        <f t="shared" ref="B486:K486" si="503">IF($B$457=$A$15,B71,IF($B$457=$A$86,B142,IF($B$457=$A$157,B213,IF($B$457=$A$228,B284,IF($B$457=$A$299,B355,IF($B$457=$A$370,B426))))))</f>
        <v>0.2087054330224489</v>
      </c>
      <c r="C486" s="16">
        <f t="shared" si="503"/>
        <v>0.2087054330224489</v>
      </c>
      <c r="D486" s="16">
        <f t="shared" si="503"/>
        <v>0.2087054330224489</v>
      </c>
      <c r="E486" s="16">
        <f t="shared" si="503"/>
        <v>0.2087054330224489</v>
      </c>
      <c r="F486" s="16">
        <f t="shared" si="503"/>
        <v>0.2087054330224489</v>
      </c>
      <c r="G486" s="16">
        <f t="shared" si="503"/>
        <v>0.2087054330224489</v>
      </c>
      <c r="H486" s="16">
        <f t="shared" si="503"/>
        <v>0.2087054330224489</v>
      </c>
      <c r="I486" s="16">
        <f t="shared" si="503"/>
        <v>0.2087054330224489</v>
      </c>
      <c r="J486" s="16">
        <f t="shared" si="503"/>
        <v>0.2087054330224489</v>
      </c>
      <c r="K486" s="16">
        <f t="shared" si="503"/>
        <v>0.2087054330224489</v>
      </c>
    </row>
    <row r="487" spans="1:11" x14ac:dyDescent="0.25">
      <c r="A487" s="1" t="s">
        <v>86</v>
      </c>
    </row>
    <row r="488" spans="1:11" x14ac:dyDescent="0.25">
      <c r="A488" s="20" t="s">
        <v>35</v>
      </c>
      <c r="B488" s="14">
        <f t="shared" ref="B488:K488" si="504">IF($B$457=$A$15,B73,IF($B$457=$A$86,B144,IF($B$457=$A$157,B215,IF($B$457=$A$228,B286,IF($B$457=$A$299,B357,IF($B$457=$A$370,B428))))))</f>
        <v>6453510.2016620003</v>
      </c>
      <c r="C488" s="14">
        <f t="shared" si="504"/>
        <v>6453510.2016620003</v>
      </c>
      <c r="D488" s="14">
        <f t="shared" si="504"/>
        <v>6453510.2016620003</v>
      </c>
      <c r="E488" s="14">
        <f t="shared" si="504"/>
        <v>6453510.2016620003</v>
      </c>
      <c r="F488" s="14">
        <f t="shared" si="504"/>
        <v>6453510.2016620003</v>
      </c>
      <c r="G488" s="14">
        <f t="shared" si="504"/>
        <v>6453510.2016620003</v>
      </c>
      <c r="H488" s="14">
        <f t="shared" si="504"/>
        <v>6453510.2016620003</v>
      </c>
      <c r="I488" s="14">
        <f t="shared" si="504"/>
        <v>6453510.2016620003</v>
      </c>
      <c r="J488" s="14">
        <f t="shared" si="504"/>
        <v>6453510.2016620003</v>
      </c>
      <c r="K488" s="14">
        <f t="shared" si="504"/>
        <v>6453510.2016620003</v>
      </c>
    </row>
    <row r="489" spans="1:11" x14ac:dyDescent="0.25">
      <c r="A489" s="20" t="s">
        <v>36</v>
      </c>
      <c r="B489" s="14">
        <f t="shared" ref="B489:K489" si="505">IF($B$457=$A$15,B74,IF($B$457=$A$86,B145,IF($B$457=$A$157,B216,IF($B$457=$A$228,B287,IF($B$457=$A$299,B358,IF($B$457=$A$370,B429))))))</f>
        <v>1839368.8758000005</v>
      </c>
      <c r="C489" s="14">
        <f t="shared" si="505"/>
        <v>1839368.8758000005</v>
      </c>
      <c r="D489" s="14">
        <f t="shared" si="505"/>
        <v>1839368.8758000005</v>
      </c>
      <c r="E489" s="14">
        <f t="shared" si="505"/>
        <v>1839368.8758000005</v>
      </c>
      <c r="F489" s="14">
        <f t="shared" si="505"/>
        <v>1839368.8758000005</v>
      </c>
      <c r="G489" s="14">
        <f t="shared" si="505"/>
        <v>1839368.8758000005</v>
      </c>
      <c r="H489" s="14">
        <f t="shared" si="505"/>
        <v>1839368.8758000005</v>
      </c>
      <c r="I489" s="14">
        <f t="shared" si="505"/>
        <v>1839368.8758000005</v>
      </c>
      <c r="J489" s="14">
        <f t="shared" si="505"/>
        <v>1839368.8758000005</v>
      </c>
      <c r="K489" s="14">
        <f t="shared" si="505"/>
        <v>1839368.8758000005</v>
      </c>
    </row>
    <row r="490" spans="1:11" x14ac:dyDescent="0.25">
      <c r="A490" s="20" t="s">
        <v>11</v>
      </c>
      <c r="B490" s="14">
        <f t="shared" ref="B490:K490" si="506">IF($B$457=$A$15,B75,IF($B$457=$A$86,B146,IF($B$457=$A$157,B217,IF($B$457=$A$228,B288,IF($B$457=$A$299,B359,IF($B$457=$A$370,B430))))))</f>
        <v>0</v>
      </c>
      <c r="C490" s="14">
        <f t="shared" si="506"/>
        <v>0</v>
      </c>
      <c r="D490" s="14">
        <f t="shared" si="506"/>
        <v>0</v>
      </c>
      <c r="E490" s="14">
        <f t="shared" si="506"/>
        <v>0</v>
      </c>
      <c r="F490" s="14">
        <f t="shared" si="506"/>
        <v>0</v>
      </c>
      <c r="G490" s="14">
        <f t="shared" si="506"/>
        <v>0</v>
      </c>
      <c r="H490" s="14">
        <f t="shared" si="506"/>
        <v>0</v>
      </c>
      <c r="I490" s="14">
        <f t="shared" si="506"/>
        <v>0</v>
      </c>
      <c r="J490" s="14">
        <f t="shared" si="506"/>
        <v>0</v>
      </c>
      <c r="K490" s="14">
        <f t="shared" si="506"/>
        <v>0</v>
      </c>
    </row>
    <row r="491" spans="1:11" x14ac:dyDescent="0.25">
      <c r="A491" s="20" t="s">
        <v>124</v>
      </c>
      <c r="B491" s="14">
        <f t="shared" ref="B491:K491" si="507">IF($B$457=$A$15,B76,IF($B$457=$A$86,B147,IF($B$457=$A$157,B218,IF($B$457=$A$228,B289,IF($B$457=$A$299,B360,IF($B$457=$A$370,B431))))))</f>
        <v>4327042.5835000006</v>
      </c>
      <c r="C491" s="14">
        <f t="shared" si="507"/>
        <v>4327042.5835000006</v>
      </c>
      <c r="D491" s="14">
        <f t="shared" si="507"/>
        <v>4327042.5835000006</v>
      </c>
      <c r="E491" s="14">
        <f t="shared" si="507"/>
        <v>4327042.5835000006</v>
      </c>
      <c r="F491" s="14">
        <f t="shared" si="507"/>
        <v>4327042.5835000006</v>
      </c>
      <c r="G491" s="14">
        <f t="shared" si="507"/>
        <v>4327042.5835000006</v>
      </c>
      <c r="H491" s="14">
        <f t="shared" si="507"/>
        <v>4327042.5835000006</v>
      </c>
      <c r="I491" s="14">
        <f t="shared" si="507"/>
        <v>4327042.5835000006</v>
      </c>
      <c r="J491" s="14">
        <f t="shared" si="507"/>
        <v>4327042.5835000006</v>
      </c>
      <c r="K491" s="14">
        <f t="shared" si="507"/>
        <v>4327042.5835000006</v>
      </c>
    </row>
    <row r="492" spans="1:11" x14ac:dyDescent="0.25">
      <c r="A492" s="20" t="s">
        <v>12</v>
      </c>
      <c r="B492" s="14">
        <f t="shared" ref="B492:K492" si="508">IF($B$457=$A$15,B77,IF($B$457=$A$86,B148,IF($B$457=$A$157,B219,IF($B$457=$A$228,B290,IF($B$457=$A$299,B361,IF($B$457=$A$370,B432))))))</f>
        <v>2316993.829423334</v>
      </c>
      <c r="C492" s="14">
        <f t="shared" si="508"/>
        <v>2316993.829423334</v>
      </c>
      <c r="D492" s="14">
        <f t="shared" si="508"/>
        <v>2316993.829423334</v>
      </c>
      <c r="E492" s="14">
        <f t="shared" si="508"/>
        <v>2316993.829423334</v>
      </c>
      <c r="F492" s="14">
        <f t="shared" si="508"/>
        <v>2316993.829423334</v>
      </c>
      <c r="G492" s="14">
        <f t="shared" si="508"/>
        <v>2316993.829423334</v>
      </c>
      <c r="H492" s="14">
        <f t="shared" si="508"/>
        <v>2316993.829423334</v>
      </c>
      <c r="I492" s="14">
        <f t="shared" si="508"/>
        <v>2316993.829423334</v>
      </c>
      <c r="J492" s="14">
        <f t="shared" si="508"/>
        <v>2316993.829423334</v>
      </c>
      <c r="K492" s="14">
        <f t="shared" si="508"/>
        <v>2316993.829423334</v>
      </c>
    </row>
    <row r="493" spans="1:11" x14ac:dyDescent="0.25">
      <c r="A493" s="20" t="s">
        <v>13</v>
      </c>
      <c r="B493" s="14">
        <f t="shared" ref="B493:K493" si="509">IF($B$457=$A$15,B78,IF($B$457=$A$86,B149,IF($B$457=$A$157,B220,IF($B$457=$A$228,B291,IF($B$457=$A$299,B362,IF($B$457=$A$370,B433))))))</f>
        <v>0</v>
      </c>
      <c r="C493" s="14">
        <f t="shared" si="509"/>
        <v>0</v>
      </c>
      <c r="D493" s="14">
        <f t="shared" si="509"/>
        <v>0</v>
      </c>
      <c r="E493" s="14">
        <f t="shared" si="509"/>
        <v>0</v>
      </c>
      <c r="F493" s="14">
        <f t="shared" si="509"/>
        <v>0</v>
      </c>
      <c r="G493" s="14">
        <f t="shared" si="509"/>
        <v>0</v>
      </c>
      <c r="H493" s="14">
        <f t="shared" si="509"/>
        <v>0</v>
      </c>
      <c r="I493" s="14">
        <f t="shared" si="509"/>
        <v>0</v>
      </c>
      <c r="J493" s="14">
        <f t="shared" si="509"/>
        <v>0</v>
      </c>
      <c r="K493" s="14">
        <f t="shared" si="509"/>
        <v>0</v>
      </c>
    </row>
    <row r="494" spans="1:11" x14ac:dyDescent="0.25">
      <c r="A494" s="20" t="s">
        <v>14</v>
      </c>
      <c r="B494" s="14">
        <f t="shared" ref="B494:K494" si="510">IF($B$457=$A$15,B79,IF($B$457=$A$86,B150,IF($B$457=$A$157,B221,IF($B$457=$A$228,B292,IF($B$457=$A$299,B363,IF($B$457=$A$370,B434))))))</f>
        <v>0</v>
      </c>
      <c r="C494" s="14">
        <f t="shared" si="510"/>
        <v>0</v>
      </c>
      <c r="D494" s="14">
        <f t="shared" si="510"/>
        <v>0</v>
      </c>
      <c r="E494" s="14">
        <f t="shared" si="510"/>
        <v>0</v>
      </c>
      <c r="F494" s="14">
        <f t="shared" si="510"/>
        <v>0</v>
      </c>
      <c r="G494" s="14">
        <f t="shared" si="510"/>
        <v>0</v>
      </c>
      <c r="H494" s="14">
        <f t="shared" si="510"/>
        <v>0</v>
      </c>
      <c r="I494" s="14">
        <f t="shared" si="510"/>
        <v>0</v>
      </c>
      <c r="J494" s="14">
        <f t="shared" si="510"/>
        <v>0</v>
      </c>
      <c r="K494" s="14">
        <f t="shared" si="510"/>
        <v>0</v>
      </c>
    </row>
    <row r="495" spans="1:11" x14ac:dyDescent="0.25">
      <c r="A495" s="20" t="s">
        <v>125</v>
      </c>
      <c r="B495" s="14">
        <f t="shared" ref="B495:K495" si="511">IF($B$457=$A$15,B80,IF($B$457=$A$86,B151,IF($B$457=$A$157,B222,IF($B$457=$A$228,B293,IF($B$457=$A$299,B364,IF($B$457=$A$370,B435))))))</f>
        <v>0</v>
      </c>
      <c r="C495" s="14">
        <f t="shared" si="511"/>
        <v>0</v>
      </c>
      <c r="D495" s="14">
        <f t="shared" si="511"/>
        <v>0</v>
      </c>
      <c r="E495" s="14">
        <f t="shared" si="511"/>
        <v>0</v>
      </c>
      <c r="F495" s="14">
        <f t="shared" si="511"/>
        <v>0</v>
      </c>
      <c r="G495" s="14">
        <f t="shared" si="511"/>
        <v>0</v>
      </c>
      <c r="H495" s="14">
        <f t="shared" si="511"/>
        <v>0</v>
      </c>
      <c r="I495" s="14">
        <f t="shared" si="511"/>
        <v>0</v>
      </c>
      <c r="J495" s="14">
        <f t="shared" si="511"/>
        <v>0</v>
      </c>
      <c r="K495" s="14">
        <f t="shared" si="511"/>
        <v>0</v>
      </c>
    </row>
    <row r="496" spans="1:11" x14ac:dyDescent="0.25">
      <c r="A496" s="20" t="s">
        <v>37</v>
      </c>
      <c r="B496" s="14">
        <f t="shared" ref="B496:K496" si="512">IF($B$457=$A$15,B81,IF($B$457=$A$86,B152,IF($B$457=$A$157,B223,IF($B$457=$A$228,B294,IF($B$457=$A$299,B365,IF($B$457=$A$370,B436))))))</f>
        <v>20015932.392431997</v>
      </c>
      <c r="C496" s="14">
        <f t="shared" si="512"/>
        <v>20015932.392431997</v>
      </c>
      <c r="D496" s="14">
        <f t="shared" si="512"/>
        <v>20015932.392431997</v>
      </c>
      <c r="E496" s="14">
        <f t="shared" si="512"/>
        <v>20015932.392431997</v>
      </c>
      <c r="F496" s="14">
        <f t="shared" si="512"/>
        <v>20015932.392431997</v>
      </c>
      <c r="G496" s="14">
        <f t="shared" si="512"/>
        <v>20015932.392431997</v>
      </c>
      <c r="H496" s="14">
        <f t="shared" si="512"/>
        <v>20015932.392431997</v>
      </c>
      <c r="I496" s="14">
        <f t="shared" si="512"/>
        <v>20015932.392431997</v>
      </c>
      <c r="J496" s="14">
        <f t="shared" si="512"/>
        <v>20015932.392431997</v>
      </c>
      <c r="K496" s="14">
        <f t="shared" si="512"/>
        <v>20015932.392431997</v>
      </c>
    </row>
    <row r="497" spans="1:12" x14ac:dyDescent="0.25">
      <c r="A497" s="20" t="s">
        <v>38</v>
      </c>
      <c r="B497" s="14">
        <f t="shared" ref="B497:K497" si="513">IF($B$457=$A$15,B82,IF($B$457=$A$86,B153,IF($B$457=$A$157,B224,IF($B$457=$A$228,B295,IF($B$457=$A$299,B366,IF($B$457=$A$370,B437))))))</f>
        <v>744239.4670000003</v>
      </c>
      <c r="C497" s="14">
        <f t="shared" si="513"/>
        <v>744239.4670000003</v>
      </c>
      <c r="D497" s="14">
        <f t="shared" si="513"/>
        <v>744239.4670000003</v>
      </c>
      <c r="E497" s="14">
        <f t="shared" si="513"/>
        <v>744239.4670000003</v>
      </c>
      <c r="F497" s="14">
        <f t="shared" si="513"/>
        <v>744239.4670000003</v>
      </c>
      <c r="G497" s="14">
        <f t="shared" si="513"/>
        <v>744239.4670000003</v>
      </c>
      <c r="H497" s="14">
        <f t="shared" si="513"/>
        <v>744239.4670000003</v>
      </c>
      <c r="I497" s="14">
        <f t="shared" si="513"/>
        <v>744239.4670000003</v>
      </c>
      <c r="J497" s="14">
        <f t="shared" si="513"/>
        <v>744239.4670000003</v>
      </c>
      <c r="K497" s="14">
        <f t="shared" si="513"/>
        <v>744239.4670000003</v>
      </c>
    </row>
    <row r="498" spans="1:12" x14ac:dyDescent="0.25">
      <c r="A498" s="20" t="s">
        <v>15</v>
      </c>
      <c r="B498" s="60">
        <f t="shared" ref="B498:K498" si="514">IF($B$457=$A$15,B83,IF($B$457=$A$86,B154,IF($B$457=$A$157,B225,IF($B$457=$A$228,B296,IF($B$457=$A$299,B367,IF($B$457=$A$370,B438))))))</f>
        <v>16490864.411249999</v>
      </c>
      <c r="C498" s="60">
        <f t="shared" si="514"/>
        <v>16490864.411249999</v>
      </c>
      <c r="D498" s="60">
        <f t="shared" si="514"/>
        <v>16490864.411249999</v>
      </c>
      <c r="E498" s="60">
        <f t="shared" si="514"/>
        <v>16490864.411249999</v>
      </c>
      <c r="F498" s="60">
        <f t="shared" si="514"/>
        <v>16490864.411249999</v>
      </c>
      <c r="G498" s="60">
        <f t="shared" si="514"/>
        <v>16490864.411249999</v>
      </c>
      <c r="H498" s="60">
        <f t="shared" si="514"/>
        <v>16490864.411249999</v>
      </c>
      <c r="I498" s="60">
        <f t="shared" si="514"/>
        <v>16490864.411249999</v>
      </c>
      <c r="J498" s="60">
        <f t="shared" si="514"/>
        <v>16490864.411249999</v>
      </c>
      <c r="K498" s="60">
        <f t="shared" si="514"/>
        <v>16490864.411249999</v>
      </c>
    </row>
    <row r="499" spans="1:12" x14ac:dyDescent="0.25">
      <c r="B499" s="14">
        <f>SUM(B488:B498)</f>
        <v>52187951.761067331</v>
      </c>
      <c r="C499" s="14">
        <f t="shared" ref="C499" si="515">SUM(C488:C498)</f>
        <v>52187951.761067331</v>
      </c>
      <c r="D499" s="14">
        <f t="shared" ref="D499" si="516">SUM(D488:D498)</f>
        <v>52187951.761067331</v>
      </c>
      <c r="E499" s="14">
        <f t="shared" ref="E499" si="517">SUM(E488:E498)</f>
        <v>52187951.761067331</v>
      </c>
      <c r="F499" s="14">
        <f t="shared" ref="F499" si="518">SUM(F488:F498)</f>
        <v>52187951.761067331</v>
      </c>
      <c r="G499" s="14">
        <f t="shared" ref="G499" si="519">SUM(G488:G498)</f>
        <v>52187951.761067331</v>
      </c>
      <c r="H499" s="14">
        <f t="shared" ref="H499" si="520">SUM(H488:H498)</f>
        <v>52187951.761067331</v>
      </c>
      <c r="I499" s="14">
        <f t="shared" ref="I499" si="521">SUM(I488:I498)</f>
        <v>52187951.761067331</v>
      </c>
      <c r="J499" s="14">
        <f t="shared" ref="J499" si="522">SUM(J488:J498)</f>
        <v>52187951.761067331</v>
      </c>
      <c r="K499" s="14">
        <f t="shared" ref="K499" si="523">SUM(K488:K498)</f>
        <v>52187951.761067331</v>
      </c>
    </row>
    <row r="500" spans="1:12" x14ac:dyDescent="0.25">
      <c r="B500" s="16">
        <f t="shared" ref="B500:K500" si="524">IF($B$457=$A$15,B85,IF($B$457=$A$86,B156,IF($B$457=$A$157,B227,IF($B$457=$A$228,B298,IF($B$457=$A$299,B369,IF($B$457=$A$370,B440))))))</f>
        <v>0.29160075809608133</v>
      </c>
      <c r="C500" s="16">
        <f t="shared" si="524"/>
        <v>0.29160075809608133</v>
      </c>
      <c r="D500" s="16">
        <f t="shared" si="524"/>
        <v>0.29160075809608133</v>
      </c>
      <c r="E500" s="16">
        <f t="shared" si="524"/>
        <v>0.29160075809608133</v>
      </c>
      <c r="F500" s="16">
        <f t="shared" si="524"/>
        <v>0.29160075809608133</v>
      </c>
      <c r="G500" s="16">
        <f t="shared" si="524"/>
        <v>0.29160075809608133</v>
      </c>
      <c r="H500" s="16">
        <f t="shared" si="524"/>
        <v>0.29160075809608133</v>
      </c>
      <c r="I500" s="16">
        <f t="shared" si="524"/>
        <v>0.29160075809608133</v>
      </c>
      <c r="J500" s="16">
        <f t="shared" si="524"/>
        <v>0.29160075809608133</v>
      </c>
      <c r="K500" s="16">
        <f t="shared" si="524"/>
        <v>0.29160075809608133</v>
      </c>
    </row>
    <row r="502" spans="1:12" s="3" customFormat="1" x14ac:dyDescent="0.25">
      <c r="A502" s="2" t="s">
        <v>91</v>
      </c>
    </row>
    <row r="504" spans="1:12" x14ac:dyDescent="0.25">
      <c r="A504" s="1" t="s">
        <v>92</v>
      </c>
      <c r="B504" s="63" t="str">
        <f>'Summary dashboard'!$C$4</f>
        <v>2023</v>
      </c>
      <c r="C504" s="63">
        <f>B504+1</f>
        <v>2024</v>
      </c>
      <c r="D504" s="63">
        <f t="shared" ref="D504:G504" si="525">C504+1</f>
        <v>2025</v>
      </c>
      <c r="E504" s="63">
        <f t="shared" si="525"/>
        <v>2026</v>
      </c>
      <c r="F504" s="63">
        <f t="shared" si="525"/>
        <v>2027</v>
      </c>
      <c r="G504" s="63">
        <f t="shared" si="525"/>
        <v>2028</v>
      </c>
      <c r="H504" s="63">
        <f>G504+1</f>
        <v>2029</v>
      </c>
      <c r="I504" s="63">
        <f t="shared" ref="I504:K504" si="526">H504+1</f>
        <v>2030</v>
      </c>
      <c r="J504" s="63">
        <f t="shared" si="526"/>
        <v>2031</v>
      </c>
      <c r="K504" s="63">
        <f t="shared" si="526"/>
        <v>2032</v>
      </c>
      <c r="L504" s="63" t="s">
        <v>28</v>
      </c>
    </row>
    <row r="505" spans="1:12" x14ac:dyDescent="0.25">
      <c r="A505" s="20" t="s">
        <v>35</v>
      </c>
      <c r="B505" s="14">
        <f>B30+B101+B172+B243+B314+B385</f>
        <v>79556721.061529115</v>
      </c>
      <c r="C505" s="14">
        <f t="shared" ref="C505:K505" si="527">C30+C101+C172+C243+C314+C385</f>
        <v>79556721.061529115</v>
      </c>
      <c r="D505" s="14">
        <f t="shared" si="527"/>
        <v>79556721.061529115</v>
      </c>
      <c r="E505" s="14">
        <f t="shared" si="527"/>
        <v>79556721.061529115</v>
      </c>
      <c r="F505" s="14">
        <f t="shared" si="527"/>
        <v>79556721.061529115</v>
      </c>
      <c r="G505" s="14">
        <f t="shared" si="527"/>
        <v>79556721.061529115</v>
      </c>
      <c r="H505" s="14">
        <f t="shared" si="527"/>
        <v>79556721.061529115</v>
      </c>
      <c r="I505" s="14">
        <f t="shared" si="527"/>
        <v>79556721.061529115</v>
      </c>
      <c r="J505" s="14">
        <f t="shared" si="527"/>
        <v>79556721.061529115</v>
      </c>
      <c r="K505" s="14">
        <f t="shared" si="527"/>
        <v>79556721.061529115</v>
      </c>
      <c r="L505" s="14">
        <f>AVERAGE(B505:K505)</f>
        <v>79556721.06152913</v>
      </c>
    </row>
    <row r="506" spans="1:12" x14ac:dyDescent="0.25">
      <c r="A506" s="20" t="s">
        <v>36</v>
      </c>
      <c r="B506" s="14">
        <f t="shared" ref="B506:K506" si="528">B31+B102+B173+B244+B315+B386</f>
        <v>32312294.412471049</v>
      </c>
      <c r="C506" s="14">
        <f t="shared" si="528"/>
        <v>32312294.412471049</v>
      </c>
      <c r="D506" s="14">
        <f t="shared" si="528"/>
        <v>32312294.412471049</v>
      </c>
      <c r="E506" s="14">
        <f t="shared" si="528"/>
        <v>32312294.412471049</v>
      </c>
      <c r="F506" s="14">
        <f t="shared" si="528"/>
        <v>32312294.412471049</v>
      </c>
      <c r="G506" s="14">
        <f t="shared" si="528"/>
        <v>32312294.412471049</v>
      </c>
      <c r="H506" s="14">
        <f t="shared" si="528"/>
        <v>32312294.412471049</v>
      </c>
      <c r="I506" s="14">
        <f t="shared" si="528"/>
        <v>32312294.412471049</v>
      </c>
      <c r="J506" s="14">
        <f t="shared" si="528"/>
        <v>32312294.412471049</v>
      </c>
      <c r="K506" s="14">
        <f t="shared" si="528"/>
        <v>32312294.412471049</v>
      </c>
      <c r="L506" s="14">
        <f t="shared" ref="L506:L515" si="529">AVERAGE(B506:K506)</f>
        <v>32312294.412471049</v>
      </c>
    </row>
    <row r="507" spans="1:12" x14ac:dyDescent="0.25">
      <c r="A507" s="20" t="s">
        <v>11</v>
      </c>
      <c r="B507" s="14">
        <f t="shared" ref="B507:K507" si="530">B32+B103+B174+B245+B316+B387</f>
        <v>0</v>
      </c>
      <c r="C507" s="14">
        <f t="shared" si="530"/>
        <v>0</v>
      </c>
      <c r="D507" s="14">
        <f t="shared" si="530"/>
        <v>0</v>
      </c>
      <c r="E507" s="14">
        <f t="shared" si="530"/>
        <v>0</v>
      </c>
      <c r="F507" s="14">
        <f t="shared" si="530"/>
        <v>0</v>
      </c>
      <c r="G507" s="14">
        <f t="shared" si="530"/>
        <v>0</v>
      </c>
      <c r="H507" s="14">
        <f t="shared" si="530"/>
        <v>0</v>
      </c>
      <c r="I507" s="14">
        <f t="shared" si="530"/>
        <v>0</v>
      </c>
      <c r="J507" s="14">
        <f t="shared" si="530"/>
        <v>0</v>
      </c>
      <c r="K507" s="14">
        <f t="shared" si="530"/>
        <v>0</v>
      </c>
      <c r="L507" s="14">
        <f t="shared" si="529"/>
        <v>0</v>
      </c>
    </row>
    <row r="508" spans="1:12" x14ac:dyDescent="0.25">
      <c r="A508" s="20" t="s">
        <v>124</v>
      </c>
      <c r="B508" s="14">
        <f t="shared" ref="B508:K508" si="531">B33+B104+B175+B246+B317+B388</f>
        <v>13243506.822942145</v>
      </c>
      <c r="C508" s="14">
        <f t="shared" si="531"/>
        <v>13243506.822942145</v>
      </c>
      <c r="D508" s="14">
        <f t="shared" si="531"/>
        <v>13243506.822942145</v>
      </c>
      <c r="E508" s="14">
        <f t="shared" si="531"/>
        <v>13243506.822942145</v>
      </c>
      <c r="F508" s="14">
        <f t="shared" si="531"/>
        <v>13243506.822942145</v>
      </c>
      <c r="G508" s="14">
        <f t="shared" si="531"/>
        <v>13243506.822942145</v>
      </c>
      <c r="H508" s="14">
        <f t="shared" si="531"/>
        <v>13243506.822942145</v>
      </c>
      <c r="I508" s="14">
        <f t="shared" si="531"/>
        <v>13243506.822942145</v>
      </c>
      <c r="J508" s="14">
        <f t="shared" si="531"/>
        <v>13243506.822942145</v>
      </c>
      <c r="K508" s="14">
        <f t="shared" si="531"/>
        <v>13243506.822942145</v>
      </c>
      <c r="L508" s="14">
        <f t="shared" si="529"/>
        <v>13243506.822942143</v>
      </c>
    </row>
    <row r="509" spans="1:12" x14ac:dyDescent="0.25">
      <c r="A509" s="20" t="s">
        <v>12</v>
      </c>
      <c r="B509" s="14">
        <f t="shared" ref="B509:K509" si="532">B34+B105+B176+B247+B318+B389</f>
        <v>175445688.34508952</v>
      </c>
      <c r="C509" s="14">
        <f t="shared" si="532"/>
        <v>175445688.34508952</v>
      </c>
      <c r="D509" s="14">
        <f t="shared" si="532"/>
        <v>175445688.34508952</v>
      </c>
      <c r="E509" s="14">
        <f t="shared" si="532"/>
        <v>175445688.34508952</v>
      </c>
      <c r="F509" s="14">
        <f t="shared" si="532"/>
        <v>175445688.34508952</v>
      </c>
      <c r="G509" s="14">
        <f t="shared" si="532"/>
        <v>175445688.34508952</v>
      </c>
      <c r="H509" s="14">
        <f t="shared" si="532"/>
        <v>175445688.34508952</v>
      </c>
      <c r="I509" s="14">
        <f t="shared" si="532"/>
        <v>175445688.34508952</v>
      </c>
      <c r="J509" s="14">
        <f t="shared" si="532"/>
        <v>175445688.34508952</v>
      </c>
      <c r="K509" s="14">
        <f t="shared" si="532"/>
        <v>175445688.34508952</v>
      </c>
      <c r="L509" s="14">
        <f t="shared" si="529"/>
        <v>175445688.3450895</v>
      </c>
    </row>
    <row r="510" spans="1:12" x14ac:dyDescent="0.25">
      <c r="A510" s="20" t="s">
        <v>13</v>
      </c>
      <c r="B510" s="14">
        <f t="shared" ref="B510:K510" si="533">B35+B106+B177+B248+B319+B390</f>
        <v>5078382.9124949528</v>
      </c>
      <c r="C510" s="14">
        <f t="shared" si="533"/>
        <v>5078382.9124949528</v>
      </c>
      <c r="D510" s="14">
        <f t="shared" si="533"/>
        <v>5078382.9124949528</v>
      </c>
      <c r="E510" s="14">
        <f t="shared" si="533"/>
        <v>5078382.9124949528</v>
      </c>
      <c r="F510" s="14">
        <f t="shared" si="533"/>
        <v>5078382.9124949528</v>
      </c>
      <c r="G510" s="14">
        <f t="shared" si="533"/>
        <v>5078382.9124949528</v>
      </c>
      <c r="H510" s="14">
        <f t="shared" si="533"/>
        <v>5078382.9124949528</v>
      </c>
      <c r="I510" s="14">
        <f t="shared" si="533"/>
        <v>5078382.9124949528</v>
      </c>
      <c r="J510" s="14">
        <f t="shared" si="533"/>
        <v>5078382.9124949528</v>
      </c>
      <c r="K510" s="14">
        <f t="shared" si="533"/>
        <v>5078382.9124949528</v>
      </c>
      <c r="L510" s="14">
        <f t="shared" si="529"/>
        <v>5078382.9124949519</v>
      </c>
    </row>
    <row r="511" spans="1:12" x14ac:dyDescent="0.25">
      <c r="A511" s="20" t="s">
        <v>14</v>
      </c>
      <c r="B511" s="14">
        <f t="shared" ref="B511:K511" si="534">B36+B107+B178+B249+B320+B391</f>
        <v>0</v>
      </c>
      <c r="C511" s="14">
        <f t="shared" si="534"/>
        <v>0</v>
      </c>
      <c r="D511" s="14">
        <f t="shared" si="534"/>
        <v>0</v>
      </c>
      <c r="E511" s="14">
        <f t="shared" si="534"/>
        <v>0</v>
      </c>
      <c r="F511" s="14">
        <f t="shared" si="534"/>
        <v>0</v>
      </c>
      <c r="G511" s="14">
        <f t="shared" si="534"/>
        <v>0</v>
      </c>
      <c r="H511" s="14">
        <f t="shared" si="534"/>
        <v>0</v>
      </c>
      <c r="I511" s="14">
        <f t="shared" si="534"/>
        <v>0</v>
      </c>
      <c r="J511" s="14">
        <f t="shared" si="534"/>
        <v>0</v>
      </c>
      <c r="K511" s="14">
        <f t="shared" si="534"/>
        <v>0</v>
      </c>
      <c r="L511" s="14">
        <f t="shared" si="529"/>
        <v>0</v>
      </c>
    </row>
    <row r="512" spans="1:12" x14ac:dyDescent="0.25">
      <c r="A512" s="20" t="s">
        <v>125</v>
      </c>
      <c r="B512" s="14">
        <f t="shared" ref="B512:K512" si="535">B37+B108+B179+B250+B321+B392</f>
        <v>13332350.021359622</v>
      </c>
      <c r="C512" s="14">
        <f t="shared" si="535"/>
        <v>13332350.021359622</v>
      </c>
      <c r="D512" s="14">
        <f t="shared" si="535"/>
        <v>13332350.021359622</v>
      </c>
      <c r="E512" s="14">
        <f t="shared" si="535"/>
        <v>13332350.021359622</v>
      </c>
      <c r="F512" s="14">
        <f t="shared" si="535"/>
        <v>13332350.021359622</v>
      </c>
      <c r="G512" s="14">
        <f t="shared" si="535"/>
        <v>13332350.021359622</v>
      </c>
      <c r="H512" s="14">
        <f t="shared" si="535"/>
        <v>13332350.021359622</v>
      </c>
      <c r="I512" s="14">
        <f t="shared" si="535"/>
        <v>13332350.021359622</v>
      </c>
      <c r="J512" s="14">
        <f t="shared" si="535"/>
        <v>13332350.021359622</v>
      </c>
      <c r="K512" s="14">
        <f t="shared" si="535"/>
        <v>13332350.021359622</v>
      </c>
      <c r="L512" s="14">
        <f t="shared" si="529"/>
        <v>13332350.021359622</v>
      </c>
    </row>
    <row r="513" spans="1:13" x14ac:dyDescent="0.25">
      <c r="A513" s="20" t="s">
        <v>37</v>
      </c>
      <c r="B513" s="14">
        <f t="shared" ref="B513:K513" si="536">B38+B109+B180+B251+B322+B393</f>
        <v>189119207.86842689</v>
      </c>
      <c r="C513" s="14">
        <f t="shared" si="536"/>
        <v>189119207.86842689</v>
      </c>
      <c r="D513" s="14">
        <f t="shared" si="536"/>
        <v>189119207.86842689</v>
      </c>
      <c r="E513" s="14">
        <f t="shared" si="536"/>
        <v>189119207.86842689</v>
      </c>
      <c r="F513" s="14">
        <f t="shared" si="536"/>
        <v>189119207.86842689</v>
      </c>
      <c r="G513" s="14">
        <f t="shared" si="536"/>
        <v>189119207.86842689</v>
      </c>
      <c r="H513" s="14">
        <f t="shared" si="536"/>
        <v>189119207.86842689</v>
      </c>
      <c r="I513" s="14">
        <f t="shared" si="536"/>
        <v>189119207.86842689</v>
      </c>
      <c r="J513" s="14">
        <f t="shared" si="536"/>
        <v>189119207.86842689</v>
      </c>
      <c r="K513" s="14">
        <f t="shared" si="536"/>
        <v>189119207.86842689</v>
      </c>
      <c r="L513" s="14">
        <f t="shared" si="529"/>
        <v>189119207.86842686</v>
      </c>
    </row>
    <row r="514" spans="1:13" x14ac:dyDescent="0.25">
      <c r="A514" s="20" t="s">
        <v>38</v>
      </c>
      <c r="B514" s="14">
        <f t="shared" ref="B514:K514" si="537">B39+B110+B181+B252+B323+B394</f>
        <v>39207389.730140887</v>
      </c>
      <c r="C514" s="14">
        <f t="shared" si="537"/>
        <v>39207389.730140887</v>
      </c>
      <c r="D514" s="14">
        <f t="shared" si="537"/>
        <v>39207389.730140887</v>
      </c>
      <c r="E514" s="14">
        <f t="shared" si="537"/>
        <v>39207389.730140887</v>
      </c>
      <c r="F514" s="14">
        <f t="shared" si="537"/>
        <v>39207389.730140887</v>
      </c>
      <c r="G514" s="14">
        <f t="shared" si="537"/>
        <v>39207389.730140887</v>
      </c>
      <c r="H514" s="14">
        <f t="shared" si="537"/>
        <v>39207389.730140887</v>
      </c>
      <c r="I514" s="14">
        <f t="shared" si="537"/>
        <v>39207389.730140887</v>
      </c>
      <c r="J514" s="14">
        <f t="shared" si="537"/>
        <v>39207389.730140887</v>
      </c>
      <c r="K514" s="14">
        <f t="shared" si="537"/>
        <v>39207389.730140887</v>
      </c>
      <c r="L514" s="14">
        <f t="shared" si="529"/>
        <v>39207389.73014088</v>
      </c>
    </row>
    <row r="515" spans="1:13" x14ac:dyDescent="0.25">
      <c r="A515" s="20" t="s">
        <v>15</v>
      </c>
      <c r="B515" s="60">
        <f t="shared" ref="B515:K515" si="538">B40+B111+B182+B253+B324+B395</f>
        <v>240749660.13117915</v>
      </c>
      <c r="C515" s="60">
        <f t="shared" si="538"/>
        <v>240749660.13117915</v>
      </c>
      <c r="D515" s="60">
        <f t="shared" si="538"/>
        <v>240749660.13117915</v>
      </c>
      <c r="E515" s="60">
        <f t="shared" si="538"/>
        <v>240749660.13117915</v>
      </c>
      <c r="F515" s="60">
        <f t="shared" si="538"/>
        <v>240749660.13117915</v>
      </c>
      <c r="G515" s="60">
        <f t="shared" si="538"/>
        <v>240749660.13117915</v>
      </c>
      <c r="H515" s="60">
        <f t="shared" si="538"/>
        <v>240749660.13117915</v>
      </c>
      <c r="I515" s="60">
        <f t="shared" si="538"/>
        <v>240749660.13117915</v>
      </c>
      <c r="J515" s="60">
        <f t="shared" si="538"/>
        <v>240749660.13117915</v>
      </c>
      <c r="K515" s="60">
        <f t="shared" si="538"/>
        <v>240749660.13117915</v>
      </c>
      <c r="L515" s="60">
        <f t="shared" si="529"/>
        <v>240749660.13117915</v>
      </c>
    </row>
    <row r="516" spans="1:13" x14ac:dyDescent="0.25">
      <c r="B516" s="14">
        <f>SUM(B505:B515)</f>
        <v>788045201.30563331</v>
      </c>
      <c r="C516" s="14">
        <f t="shared" ref="C516:K516" si="539">SUM(C505:C515)</f>
        <v>788045201.30563331</v>
      </c>
      <c r="D516" s="14">
        <f t="shared" si="539"/>
        <v>788045201.30563331</v>
      </c>
      <c r="E516" s="14">
        <f t="shared" si="539"/>
        <v>788045201.30563331</v>
      </c>
      <c r="F516" s="14">
        <f t="shared" si="539"/>
        <v>788045201.30563331</v>
      </c>
      <c r="G516" s="14">
        <f t="shared" si="539"/>
        <v>788045201.30563331</v>
      </c>
      <c r="H516" s="14">
        <f t="shared" si="539"/>
        <v>788045201.30563331</v>
      </c>
      <c r="I516" s="14">
        <f t="shared" si="539"/>
        <v>788045201.30563331</v>
      </c>
      <c r="J516" s="14">
        <f t="shared" si="539"/>
        <v>788045201.30563331</v>
      </c>
      <c r="K516" s="14">
        <f t="shared" si="539"/>
        <v>788045201.30563331</v>
      </c>
      <c r="L516" s="14">
        <f>SUM(L505:L515)</f>
        <v>788045201.30563331</v>
      </c>
      <c r="M516" s="62">
        <f>L516-SUM(B3:G13)</f>
        <v>0</v>
      </c>
    </row>
    <row r="518" spans="1:13" x14ac:dyDescent="0.25">
      <c r="A518" s="1" t="s">
        <v>128</v>
      </c>
      <c r="B518" s="12" t="str">
        <f>'Summary dashboard'!C4</f>
        <v>2023</v>
      </c>
      <c r="C518" s="12">
        <f t="shared" ref="C518:K518" si="540">B518+1</f>
        <v>2024</v>
      </c>
      <c r="D518" s="12">
        <f t="shared" si="540"/>
        <v>2025</v>
      </c>
      <c r="E518" s="12">
        <f t="shared" si="540"/>
        <v>2026</v>
      </c>
      <c r="F518" s="12">
        <f t="shared" si="540"/>
        <v>2027</v>
      </c>
      <c r="G518" s="12">
        <f t="shared" si="540"/>
        <v>2028</v>
      </c>
      <c r="H518" s="12">
        <f t="shared" si="540"/>
        <v>2029</v>
      </c>
      <c r="I518" s="12">
        <f t="shared" si="540"/>
        <v>2030</v>
      </c>
      <c r="J518" s="12">
        <f t="shared" si="540"/>
        <v>2031</v>
      </c>
      <c r="K518" s="12">
        <f t="shared" si="540"/>
        <v>2032</v>
      </c>
      <c r="L518" s="1" t="s">
        <v>28</v>
      </c>
    </row>
    <row r="519" spans="1:13" x14ac:dyDescent="0.25">
      <c r="A519" s="4" t="s">
        <v>42</v>
      </c>
      <c r="B519" s="14">
        <f>B41</f>
        <v>131829011.03866667</v>
      </c>
      <c r="C519" s="14">
        <f t="shared" ref="C519:K519" si="541">C41</f>
        <v>131829011.03866667</v>
      </c>
      <c r="D519" s="14">
        <f t="shared" si="541"/>
        <v>131829011.03866667</v>
      </c>
      <c r="E519" s="14">
        <f t="shared" si="541"/>
        <v>131829011.03866667</v>
      </c>
      <c r="F519" s="14">
        <f t="shared" si="541"/>
        <v>131829011.03866667</v>
      </c>
      <c r="G519" s="14">
        <f t="shared" si="541"/>
        <v>131829011.03866667</v>
      </c>
      <c r="H519" s="14">
        <f t="shared" si="541"/>
        <v>131829011.03866667</v>
      </c>
      <c r="I519" s="14">
        <f t="shared" si="541"/>
        <v>131829011.03866667</v>
      </c>
      <c r="J519" s="14">
        <f t="shared" si="541"/>
        <v>131829011.03866667</v>
      </c>
      <c r="K519" s="14">
        <f t="shared" si="541"/>
        <v>131829011.03866667</v>
      </c>
      <c r="L519" s="5">
        <f>AVERAGE(B519:K519)</f>
        <v>131829011.0386667</v>
      </c>
    </row>
    <row r="520" spans="1:13" x14ac:dyDescent="0.25">
      <c r="A520" s="4" t="s">
        <v>31</v>
      </c>
      <c r="B520" s="14">
        <f>B112</f>
        <v>132038000.00000003</v>
      </c>
      <c r="C520" s="14">
        <f t="shared" ref="C520:K520" si="542">C112</f>
        <v>132038000.00000003</v>
      </c>
      <c r="D520" s="14">
        <f t="shared" si="542"/>
        <v>132038000.00000003</v>
      </c>
      <c r="E520" s="14">
        <f t="shared" si="542"/>
        <v>132038000.00000003</v>
      </c>
      <c r="F520" s="14">
        <f t="shared" si="542"/>
        <v>132038000.00000003</v>
      </c>
      <c r="G520" s="14">
        <f t="shared" si="542"/>
        <v>132038000.00000003</v>
      </c>
      <c r="H520" s="14">
        <f t="shared" si="542"/>
        <v>132038000.00000003</v>
      </c>
      <c r="I520" s="14">
        <f t="shared" si="542"/>
        <v>132038000.00000003</v>
      </c>
      <c r="J520" s="14">
        <f t="shared" si="542"/>
        <v>132038000.00000003</v>
      </c>
      <c r="K520" s="14">
        <f t="shared" si="542"/>
        <v>132038000.00000003</v>
      </c>
      <c r="L520" s="5">
        <f t="shared" ref="L520:L524" si="543">AVERAGE(B520:K520)</f>
        <v>132038000.00000003</v>
      </c>
    </row>
    <row r="521" spans="1:13" x14ac:dyDescent="0.25">
      <c r="A521" s="4" t="s">
        <v>50</v>
      </c>
      <c r="B521" s="14">
        <f>B183</f>
        <v>101871633.40583332</v>
      </c>
      <c r="C521" s="14">
        <f t="shared" ref="C521:K521" si="544">C183</f>
        <v>101871633.40583332</v>
      </c>
      <c r="D521" s="14">
        <f t="shared" si="544"/>
        <v>101871633.40583332</v>
      </c>
      <c r="E521" s="14">
        <f t="shared" si="544"/>
        <v>101871633.40583332</v>
      </c>
      <c r="F521" s="14">
        <f t="shared" si="544"/>
        <v>101871633.40583332</v>
      </c>
      <c r="G521" s="14">
        <f t="shared" si="544"/>
        <v>101871633.40583332</v>
      </c>
      <c r="H521" s="14">
        <f t="shared" si="544"/>
        <v>101871633.40583332</v>
      </c>
      <c r="I521" s="14">
        <f t="shared" si="544"/>
        <v>101871633.40583332</v>
      </c>
      <c r="J521" s="14">
        <f t="shared" si="544"/>
        <v>101871633.40583332</v>
      </c>
      <c r="K521" s="14">
        <f t="shared" si="544"/>
        <v>101871633.40583332</v>
      </c>
      <c r="L521" s="5">
        <f t="shared" si="543"/>
        <v>101871633.40583333</v>
      </c>
    </row>
    <row r="522" spans="1:13" x14ac:dyDescent="0.25">
      <c r="A522" s="4" t="s">
        <v>33</v>
      </c>
      <c r="B522" s="14">
        <f>B254</f>
        <v>178970562.70296666</v>
      </c>
      <c r="C522" s="14">
        <f t="shared" ref="C522:K522" si="545">C254</f>
        <v>178970562.70296666</v>
      </c>
      <c r="D522" s="14">
        <f t="shared" si="545"/>
        <v>178970562.70296666</v>
      </c>
      <c r="E522" s="14">
        <f t="shared" si="545"/>
        <v>178970562.70296666</v>
      </c>
      <c r="F522" s="14">
        <f t="shared" si="545"/>
        <v>178970562.70296666</v>
      </c>
      <c r="G522" s="14">
        <f t="shared" si="545"/>
        <v>178970562.70296666</v>
      </c>
      <c r="H522" s="14">
        <f t="shared" si="545"/>
        <v>178970562.70296666</v>
      </c>
      <c r="I522" s="14">
        <f t="shared" si="545"/>
        <v>178970562.70296666</v>
      </c>
      <c r="J522" s="14">
        <f t="shared" si="545"/>
        <v>178970562.70296666</v>
      </c>
      <c r="K522" s="14">
        <f t="shared" si="545"/>
        <v>178970562.70296666</v>
      </c>
      <c r="L522" s="5">
        <f t="shared" si="543"/>
        <v>178970562.70296666</v>
      </c>
    </row>
    <row r="523" spans="1:13" x14ac:dyDescent="0.25">
      <c r="A523" s="4" t="s">
        <v>32</v>
      </c>
      <c r="B523" s="14">
        <f>B325</f>
        <v>96904819.393333346</v>
      </c>
      <c r="C523" s="14">
        <f t="shared" ref="C523:K523" si="546">C325</f>
        <v>96904819.393333346</v>
      </c>
      <c r="D523" s="14">
        <f t="shared" si="546"/>
        <v>96904819.393333346</v>
      </c>
      <c r="E523" s="14">
        <f t="shared" si="546"/>
        <v>96904819.393333346</v>
      </c>
      <c r="F523" s="14">
        <f t="shared" si="546"/>
        <v>96904819.393333346</v>
      </c>
      <c r="G523" s="14">
        <f t="shared" si="546"/>
        <v>96904819.393333346</v>
      </c>
      <c r="H523" s="14">
        <f t="shared" si="546"/>
        <v>96904819.393333346</v>
      </c>
      <c r="I523" s="14">
        <f t="shared" si="546"/>
        <v>96904819.393333346</v>
      </c>
      <c r="J523" s="14">
        <f t="shared" si="546"/>
        <v>96904819.393333346</v>
      </c>
      <c r="K523" s="14">
        <f t="shared" si="546"/>
        <v>96904819.393333346</v>
      </c>
      <c r="L523" s="5">
        <f t="shared" si="543"/>
        <v>96904819.393333331</v>
      </c>
    </row>
    <row r="524" spans="1:13" x14ac:dyDescent="0.25">
      <c r="A524" s="4" t="s">
        <v>34</v>
      </c>
      <c r="B524" s="14">
        <f>B396</f>
        <v>146431174.76483333</v>
      </c>
      <c r="C524" s="14">
        <f t="shared" ref="C524:K524" si="547">C396</f>
        <v>146431174.76483333</v>
      </c>
      <c r="D524" s="14">
        <f t="shared" si="547"/>
        <v>146431174.76483333</v>
      </c>
      <c r="E524" s="14">
        <f t="shared" si="547"/>
        <v>146431174.76483333</v>
      </c>
      <c r="F524" s="14">
        <f t="shared" si="547"/>
        <v>146431174.76483333</v>
      </c>
      <c r="G524" s="14">
        <f t="shared" si="547"/>
        <v>146431174.76483333</v>
      </c>
      <c r="H524" s="14">
        <f t="shared" si="547"/>
        <v>146431174.76483333</v>
      </c>
      <c r="I524" s="14">
        <f t="shared" si="547"/>
        <v>146431174.76483333</v>
      </c>
      <c r="J524" s="14">
        <f t="shared" si="547"/>
        <v>146431174.76483333</v>
      </c>
      <c r="K524" s="14">
        <f t="shared" si="547"/>
        <v>146431174.76483333</v>
      </c>
      <c r="L524" s="5">
        <f t="shared" si="543"/>
        <v>146431174.76483336</v>
      </c>
    </row>
    <row r="526" spans="1:13" ht="30" x14ac:dyDescent="0.25">
      <c r="A526" s="15" t="s">
        <v>126</v>
      </c>
      <c r="B526" s="12" t="str">
        <f>'Summary dashboard'!C4</f>
        <v>2023</v>
      </c>
      <c r="C526" s="12">
        <f t="shared" ref="C526:K526" si="548">B526+1</f>
        <v>2024</v>
      </c>
      <c r="D526" s="12">
        <f t="shared" si="548"/>
        <v>2025</v>
      </c>
      <c r="E526" s="12">
        <f t="shared" si="548"/>
        <v>2026</v>
      </c>
      <c r="F526" s="12">
        <f t="shared" si="548"/>
        <v>2027</v>
      </c>
      <c r="G526" s="12">
        <f t="shared" si="548"/>
        <v>2028</v>
      </c>
      <c r="H526" s="12">
        <f t="shared" si="548"/>
        <v>2029</v>
      </c>
      <c r="I526" s="12">
        <f t="shared" si="548"/>
        <v>2030</v>
      </c>
      <c r="J526" s="12">
        <f t="shared" si="548"/>
        <v>2031</v>
      </c>
      <c r="K526" s="12">
        <f t="shared" si="548"/>
        <v>2032</v>
      </c>
      <c r="L526" s="1" t="s">
        <v>28</v>
      </c>
    </row>
    <row r="527" spans="1:13" x14ac:dyDescent="0.25">
      <c r="A527" s="4" t="s">
        <v>42</v>
      </c>
      <c r="B527" s="14">
        <f>B55</f>
        <v>54310918.891926661</v>
      </c>
      <c r="C527" s="14">
        <f t="shared" ref="C527:K527" si="549">C55</f>
        <v>54310918.891926661</v>
      </c>
      <c r="D527" s="14">
        <f t="shared" si="549"/>
        <v>54310918.891926661</v>
      </c>
      <c r="E527" s="14">
        <f t="shared" si="549"/>
        <v>54310918.891926661</v>
      </c>
      <c r="F527" s="14">
        <f t="shared" si="549"/>
        <v>54310918.891926661</v>
      </c>
      <c r="G527" s="14">
        <f t="shared" si="549"/>
        <v>54310918.891926661</v>
      </c>
      <c r="H527" s="14">
        <f t="shared" si="549"/>
        <v>54310918.891926661</v>
      </c>
      <c r="I527" s="14">
        <f t="shared" si="549"/>
        <v>54310918.891926661</v>
      </c>
      <c r="J527" s="14">
        <f t="shared" si="549"/>
        <v>54310918.891926661</v>
      </c>
      <c r="K527" s="14">
        <f t="shared" si="549"/>
        <v>54310918.891926661</v>
      </c>
      <c r="L527" s="5">
        <f>AVERAGE(B527:K527)</f>
        <v>54310918.891926661</v>
      </c>
    </row>
    <row r="528" spans="1:13" x14ac:dyDescent="0.25">
      <c r="A528" s="4" t="s">
        <v>31</v>
      </c>
      <c r="B528" s="14">
        <f>B126</f>
        <v>55730771.879237667</v>
      </c>
      <c r="C528" s="14">
        <f t="shared" ref="C528:K528" si="550">C126</f>
        <v>55730771.879237667</v>
      </c>
      <c r="D528" s="14">
        <f t="shared" si="550"/>
        <v>55730771.879237667</v>
      </c>
      <c r="E528" s="14">
        <f t="shared" si="550"/>
        <v>55730771.879237667</v>
      </c>
      <c r="F528" s="14">
        <f t="shared" si="550"/>
        <v>55730771.879237667</v>
      </c>
      <c r="G528" s="14">
        <f t="shared" si="550"/>
        <v>55730771.879237667</v>
      </c>
      <c r="H528" s="14">
        <f t="shared" si="550"/>
        <v>55730771.879237667</v>
      </c>
      <c r="I528" s="14">
        <f t="shared" si="550"/>
        <v>55730771.879237667</v>
      </c>
      <c r="J528" s="14">
        <f t="shared" si="550"/>
        <v>55730771.879237667</v>
      </c>
      <c r="K528" s="14">
        <f t="shared" si="550"/>
        <v>55730771.879237667</v>
      </c>
      <c r="L528" s="5">
        <f t="shared" ref="L528:L532" si="551">AVERAGE(B528:K528)</f>
        <v>55730771.879237667</v>
      </c>
    </row>
    <row r="529" spans="1:12" x14ac:dyDescent="0.25">
      <c r="A529" s="4" t="s">
        <v>50</v>
      </c>
      <c r="B529" s="14">
        <f>B197</f>
        <v>44339164.844333336</v>
      </c>
      <c r="C529" s="14">
        <f t="shared" ref="C529:K529" si="552">C197</f>
        <v>44339164.844333336</v>
      </c>
      <c r="D529" s="14">
        <f t="shared" si="552"/>
        <v>44339164.844333336</v>
      </c>
      <c r="E529" s="14">
        <f t="shared" si="552"/>
        <v>44339164.844333336</v>
      </c>
      <c r="F529" s="14">
        <f t="shared" si="552"/>
        <v>44339164.844333336</v>
      </c>
      <c r="G529" s="14">
        <f t="shared" si="552"/>
        <v>44339164.844333336</v>
      </c>
      <c r="H529" s="14">
        <f t="shared" si="552"/>
        <v>44339164.844333336</v>
      </c>
      <c r="I529" s="14">
        <f t="shared" si="552"/>
        <v>44339164.844333336</v>
      </c>
      <c r="J529" s="14">
        <f t="shared" si="552"/>
        <v>44339164.844333336</v>
      </c>
      <c r="K529" s="14">
        <f t="shared" si="552"/>
        <v>44339164.844333336</v>
      </c>
      <c r="L529" s="5">
        <f t="shared" si="551"/>
        <v>44339164.844333343</v>
      </c>
    </row>
    <row r="530" spans="1:12" x14ac:dyDescent="0.25">
      <c r="A530" s="4" t="s">
        <v>33</v>
      </c>
      <c r="B530" s="14">
        <f>B268</f>
        <v>67023774.734940663</v>
      </c>
      <c r="C530" s="14">
        <f t="shared" ref="C530:K530" si="553">C268</f>
        <v>67023774.734940663</v>
      </c>
      <c r="D530" s="14">
        <f t="shared" si="553"/>
        <v>67023774.734940663</v>
      </c>
      <c r="E530" s="14">
        <f t="shared" si="553"/>
        <v>67023774.734940663</v>
      </c>
      <c r="F530" s="14">
        <f t="shared" si="553"/>
        <v>67023774.734940663</v>
      </c>
      <c r="G530" s="14">
        <f t="shared" si="553"/>
        <v>67023774.734940663</v>
      </c>
      <c r="H530" s="14">
        <f t="shared" si="553"/>
        <v>67023774.734940663</v>
      </c>
      <c r="I530" s="14">
        <f t="shared" si="553"/>
        <v>67023774.734940663</v>
      </c>
      <c r="J530" s="14">
        <f t="shared" si="553"/>
        <v>67023774.734940663</v>
      </c>
      <c r="K530" s="14">
        <f t="shared" si="553"/>
        <v>67023774.734940663</v>
      </c>
      <c r="L530" s="5">
        <f t="shared" si="551"/>
        <v>67023774.734940663</v>
      </c>
    </row>
    <row r="531" spans="1:12" x14ac:dyDescent="0.25">
      <c r="A531" s="4" t="s">
        <v>32</v>
      </c>
      <c r="B531" s="14">
        <f>B339</f>
        <v>43124953.889233336</v>
      </c>
      <c r="C531" s="14">
        <f t="shared" ref="C531:K531" si="554">C339</f>
        <v>43124953.889233336</v>
      </c>
      <c r="D531" s="14">
        <f t="shared" si="554"/>
        <v>43124953.889233336</v>
      </c>
      <c r="E531" s="14">
        <f t="shared" si="554"/>
        <v>43124953.889233336</v>
      </c>
      <c r="F531" s="14">
        <f t="shared" si="554"/>
        <v>43124953.889233336</v>
      </c>
      <c r="G531" s="14">
        <f t="shared" si="554"/>
        <v>43124953.889233336</v>
      </c>
      <c r="H531" s="14">
        <f t="shared" si="554"/>
        <v>43124953.889233336</v>
      </c>
      <c r="I531" s="14">
        <f t="shared" si="554"/>
        <v>43124953.889233336</v>
      </c>
      <c r="J531" s="14">
        <f t="shared" si="554"/>
        <v>43124953.889233336</v>
      </c>
      <c r="K531" s="14">
        <f t="shared" si="554"/>
        <v>43124953.889233336</v>
      </c>
      <c r="L531" s="5">
        <f t="shared" si="551"/>
        <v>43124953.889233343</v>
      </c>
    </row>
    <row r="532" spans="1:12" x14ac:dyDescent="0.25">
      <c r="A532" s="4" t="s">
        <v>34</v>
      </c>
      <c r="B532" s="14">
        <f>B410</f>
        <v>66625090.758990116</v>
      </c>
      <c r="C532" s="14">
        <f t="shared" ref="C532:K532" si="555">C410</f>
        <v>66625090.758990116</v>
      </c>
      <c r="D532" s="14">
        <f t="shared" si="555"/>
        <v>66625090.758990116</v>
      </c>
      <c r="E532" s="14">
        <f t="shared" si="555"/>
        <v>66625090.758990116</v>
      </c>
      <c r="F532" s="14">
        <f t="shared" si="555"/>
        <v>66625090.758990116</v>
      </c>
      <c r="G532" s="14">
        <f t="shared" si="555"/>
        <v>66625090.758990116</v>
      </c>
      <c r="H532" s="14">
        <f t="shared" si="555"/>
        <v>66625090.758990116</v>
      </c>
      <c r="I532" s="14">
        <f t="shared" si="555"/>
        <v>66625090.758990116</v>
      </c>
      <c r="J532" s="14">
        <f t="shared" si="555"/>
        <v>66625090.758990116</v>
      </c>
      <c r="K532" s="14">
        <f t="shared" si="555"/>
        <v>66625090.758990116</v>
      </c>
      <c r="L532" s="5">
        <f t="shared" si="551"/>
        <v>66625090.758990124</v>
      </c>
    </row>
    <row r="534" spans="1:12" ht="30" x14ac:dyDescent="0.25">
      <c r="A534" s="15" t="s">
        <v>127</v>
      </c>
      <c r="B534" s="12" t="str">
        <f>'Summary dashboard'!C4</f>
        <v>2023</v>
      </c>
      <c r="C534" s="12">
        <f t="shared" ref="C534:K534" si="556">B534+1</f>
        <v>2024</v>
      </c>
      <c r="D534" s="12">
        <f t="shared" si="556"/>
        <v>2025</v>
      </c>
      <c r="E534" s="12">
        <f t="shared" si="556"/>
        <v>2026</v>
      </c>
      <c r="F534" s="12">
        <f t="shared" si="556"/>
        <v>2027</v>
      </c>
      <c r="G534" s="12">
        <f t="shared" si="556"/>
        <v>2028</v>
      </c>
      <c r="H534" s="12">
        <f t="shared" si="556"/>
        <v>2029</v>
      </c>
      <c r="I534" s="12">
        <f t="shared" si="556"/>
        <v>2030</v>
      </c>
      <c r="J534" s="12">
        <f t="shared" si="556"/>
        <v>2031</v>
      </c>
      <c r="K534" s="12">
        <f t="shared" si="556"/>
        <v>2032</v>
      </c>
      <c r="L534" s="1" t="s">
        <v>28</v>
      </c>
    </row>
    <row r="535" spans="1:12" x14ac:dyDescent="0.25">
      <c r="A535" s="4" t="s">
        <v>42</v>
      </c>
      <c r="B535" s="14">
        <f>B70</f>
        <v>30582916.061860003</v>
      </c>
      <c r="C535" s="14">
        <f t="shared" ref="C535:K535" si="557">C70</f>
        <v>30582916.061860003</v>
      </c>
      <c r="D535" s="14">
        <f t="shared" si="557"/>
        <v>30582916.061860003</v>
      </c>
      <c r="E535" s="14">
        <f t="shared" si="557"/>
        <v>30582916.061860003</v>
      </c>
      <c r="F535" s="14">
        <f t="shared" si="557"/>
        <v>30582916.061860003</v>
      </c>
      <c r="G535" s="14">
        <f t="shared" si="557"/>
        <v>30582916.061860003</v>
      </c>
      <c r="H535" s="14">
        <f t="shared" si="557"/>
        <v>30582916.061860003</v>
      </c>
      <c r="I535" s="14">
        <f t="shared" si="557"/>
        <v>30582916.061860003</v>
      </c>
      <c r="J535" s="14">
        <f t="shared" si="557"/>
        <v>30582916.061860003</v>
      </c>
      <c r="K535" s="14">
        <f t="shared" si="557"/>
        <v>30582916.061860003</v>
      </c>
      <c r="L535" s="5">
        <f>AVERAGE(B535:K535)</f>
        <v>30582916.061860003</v>
      </c>
    </row>
    <row r="536" spans="1:12" x14ac:dyDescent="0.25">
      <c r="A536" s="4" t="s">
        <v>31</v>
      </c>
      <c r="B536" s="14">
        <f>B141</f>
        <v>32926571.032375976</v>
      </c>
      <c r="C536" s="14">
        <f t="shared" ref="C536:K536" si="558">C141</f>
        <v>32926571.032375976</v>
      </c>
      <c r="D536" s="14">
        <f t="shared" si="558"/>
        <v>32926571.032375976</v>
      </c>
      <c r="E536" s="14">
        <f t="shared" si="558"/>
        <v>32926571.032375976</v>
      </c>
      <c r="F536" s="14">
        <f t="shared" si="558"/>
        <v>32926571.032375976</v>
      </c>
      <c r="G536" s="14">
        <f t="shared" si="558"/>
        <v>32926571.032375976</v>
      </c>
      <c r="H536" s="14">
        <f t="shared" si="558"/>
        <v>32926571.032375976</v>
      </c>
      <c r="I536" s="14">
        <f t="shared" si="558"/>
        <v>32926571.032375976</v>
      </c>
      <c r="J536" s="14">
        <f t="shared" si="558"/>
        <v>32926571.032375976</v>
      </c>
      <c r="K536" s="14">
        <f t="shared" si="558"/>
        <v>32926571.032375976</v>
      </c>
      <c r="L536" s="5">
        <f t="shared" ref="L536:L540" si="559">AVERAGE(B536:K536)</f>
        <v>32926571.032375984</v>
      </c>
    </row>
    <row r="537" spans="1:12" x14ac:dyDescent="0.25">
      <c r="A537" s="4" t="s">
        <v>50</v>
      </c>
      <c r="B537" s="14">
        <f>B212</f>
        <v>27340673.291166671</v>
      </c>
      <c r="C537" s="14">
        <f t="shared" ref="C537:K537" si="560">C212</f>
        <v>27340673.291166671</v>
      </c>
      <c r="D537" s="14">
        <f t="shared" si="560"/>
        <v>27340673.291166671</v>
      </c>
      <c r="E537" s="14">
        <f t="shared" si="560"/>
        <v>27340673.291166671</v>
      </c>
      <c r="F537" s="14">
        <f t="shared" si="560"/>
        <v>27340673.291166671</v>
      </c>
      <c r="G537" s="14">
        <f t="shared" si="560"/>
        <v>27340673.291166671</v>
      </c>
      <c r="H537" s="14">
        <f t="shared" si="560"/>
        <v>27340673.291166671</v>
      </c>
      <c r="I537" s="14">
        <f t="shared" si="560"/>
        <v>27340673.291166671</v>
      </c>
      <c r="J537" s="14">
        <f t="shared" si="560"/>
        <v>27340673.291166671</v>
      </c>
      <c r="K537" s="14">
        <f t="shared" si="560"/>
        <v>27340673.291166671</v>
      </c>
      <c r="L537" s="5">
        <f t="shared" si="559"/>
        <v>27340673.291166671</v>
      </c>
    </row>
    <row r="538" spans="1:12" x14ac:dyDescent="0.25">
      <c r="A538" s="4" t="s">
        <v>33</v>
      </c>
      <c r="B538" s="14">
        <f>B283</f>
        <v>37352128.787193999</v>
      </c>
      <c r="C538" s="14">
        <f t="shared" ref="C538:K538" si="561">C283</f>
        <v>37352128.787193999</v>
      </c>
      <c r="D538" s="14">
        <f t="shared" si="561"/>
        <v>37352128.787193999</v>
      </c>
      <c r="E538" s="14">
        <f t="shared" si="561"/>
        <v>37352128.787193999</v>
      </c>
      <c r="F538" s="14">
        <f t="shared" si="561"/>
        <v>37352128.787193999</v>
      </c>
      <c r="G538" s="14">
        <f t="shared" si="561"/>
        <v>37352128.787193999</v>
      </c>
      <c r="H538" s="14">
        <f t="shared" si="561"/>
        <v>37352128.787193999</v>
      </c>
      <c r="I538" s="14">
        <f t="shared" si="561"/>
        <v>37352128.787193999</v>
      </c>
      <c r="J538" s="14">
        <f t="shared" si="561"/>
        <v>37352128.787193999</v>
      </c>
      <c r="K538" s="14">
        <f t="shared" si="561"/>
        <v>37352128.787193999</v>
      </c>
      <c r="L538" s="5">
        <f t="shared" si="559"/>
        <v>37352128.787194006</v>
      </c>
    </row>
    <row r="539" spans="1:12" x14ac:dyDescent="0.25">
      <c r="A539" s="4" t="s">
        <v>32</v>
      </c>
      <c r="B539" s="14">
        <f>B354</f>
        <v>25446755.180900004</v>
      </c>
      <c r="C539" s="14">
        <f t="shared" ref="C539:K539" si="562">C354</f>
        <v>25446755.180900004</v>
      </c>
      <c r="D539" s="14">
        <f t="shared" si="562"/>
        <v>25446755.180900004</v>
      </c>
      <c r="E539" s="14">
        <f t="shared" si="562"/>
        <v>25446755.180900004</v>
      </c>
      <c r="F539" s="14">
        <f t="shared" si="562"/>
        <v>25446755.180900004</v>
      </c>
      <c r="G539" s="14">
        <f t="shared" si="562"/>
        <v>25446755.180900004</v>
      </c>
      <c r="H539" s="14">
        <f t="shared" si="562"/>
        <v>25446755.180900004</v>
      </c>
      <c r="I539" s="14">
        <f t="shared" si="562"/>
        <v>25446755.180900004</v>
      </c>
      <c r="J539" s="14">
        <f t="shared" si="562"/>
        <v>25446755.180900004</v>
      </c>
      <c r="K539" s="14">
        <f t="shared" si="562"/>
        <v>25446755.180900004</v>
      </c>
      <c r="L539" s="5">
        <f t="shared" si="559"/>
        <v>25446755.180900004</v>
      </c>
    </row>
    <row r="540" spans="1:12" x14ac:dyDescent="0.25">
      <c r="A540" s="4" t="s">
        <v>34</v>
      </c>
      <c r="B540" s="14">
        <f>B425</f>
        <v>41361898.191561505</v>
      </c>
      <c r="C540" s="14">
        <f t="shared" ref="C540:K540" si="563">C425</f>
        <v>41361898.191561505</v>
      </c>
      <c r="D540" s="14">
        <f t="shared" si="563"/>
        <v>41361898.191561505</v>
      </c>
      <c r="E540" s="14">
        <f t="shared" si="563"/>
        <v>41361898.191561505</v>
      </c>
      <c r="F540" s="14">
        <f t="shared" si="563"/>
        <v>41361898.191561505</v>
      </c>
      <c r="G540" s="14">
        <f t="shared" si="563"/>
        <v>41361898.191561505</v>
      </c>
      <c r="H540" s="14">
        <f t="shared" si="563"/>
        <v>41361898.191561505</v>
      </c>
      <c r="I540" s="14">
        <f t="shared" si="563"/>
        <v>41361898.191561505</v>
      </c>
      <c r="J540" s="14">
        <f t="shared" si="563"/>
        <v>41361898.191561505</v>
      </c>
      <c r="K540" s="14">
        <f t="shared" si="563"/>
        <v>41361898.191561505</v>
      </c>
      <c r="L540" s="5">
        <f t="shared" si="559"/>
        <v>41361898.191561513</v>
      </c>
    </row>
    <row r="542" spans="1:12" ht="30" x14ac:dyDescent="0.25">
      <c r="A542" s="15" t="s">
        <v>129</v>
      </c>
      <c r="B542" s="12" t="str">
        <f>'Summary dashboard'!C4</f>
        <v>2023</v>
      </c>
      <c r="C542" s="12">
        <f t="shared" ref="C542:K542" si="564">B542+1</f>
        <v>2024</v>
      </c>
      <c r="D542" s="12">
        <f t="shared" si="564"/>
        <v>2025</v>
      </c>
      <c r="E542" s="12">
        <f t="shared" si="564"/>
        <v>2026</v>
      </c>
      <c r="F542" s="12">
        <f t="shared" si="564"/>
        <v>2027</v>
      </c>
      <c r="G542" s="12">
        <f t="shared" si="564"/>
        <v>2028</v>
      </c>
      <c r="H542" s="12">
        <f t="shared" si="564"/>
        <v>2029</v>
      </c>
      <c r="I542" s="12">
        <f t="shared" si="564"/>
        <v>2030</v>
      </c>
      <c r="J542" s="12">
        <f t="shared" si="564"/>
        <v>2031</v>
      </c>
      <c r="K542" s="12">
        <f t="shared" si="564"/>
        <v>2032</v>
      </c>
      <c r="L542" s="1" t="s">
        <v>28</v>
      </c>
    </row>
    <row r="543" spans="1:12" x14ac:dyDescent="0.25">
      <c r="A543" s="4" t="s">
        <v>42</v>
      </c>
      <c r="B543" s="14">
        <f>B84</f>
        <v>42446917.476893336</v>
      </c>
      <c r="C543" s="14">
        <f t="shared" ref="C543:K543" si="565">C84</f>
        <v>42446917.476893336</v>
      </c>
      <c r="D543" s="14">
        <f t="shared" si="565"/>
        <v>42446917.476893336</v>
      </c>
      <c r="E543" s="14">
        <f t="shared" si="565"/>
        <v>42446917.476893336</v>
      </c>
      <c r="F543" s="14">
        <f t="shared" si="565"/>
        <v>42446917.476893336</v>
      </c>
      <c r="G543" s="14">
        <f t="shared" si="565"/>
        <v>42446917.476893336</v>
      </c>
      <c r="H543" s="14">
        <f t="shared" si="565"/>
        <v>42446917.476893336</v>
      </c>
      <c r="I543" s="14">
        <f t="shared" si="565"/>
        <v>42446917.476893336</v>
      </c>
      <c r="J543" s="14">
        <f t="shared" si="565"/>
        <v>42446917.476893336</v>
      </c>
      <c r="K543" s="14">
        <f t="shared" si="565"/>
        <v>42446917.476893336</v>
      </c>
      <c r="L543" s="5">
        <f>AVERAGE(B543:K543)</f>
        <v>42446917.476893328</v>
      </c>
    </row>
    <row r="544" spans="1:12" x14ac:dyDescent="0.25">
      <c r="A544" s="4" t="s">
        <v>31</v>
      </c>
      <c r="B544" s="14">
        <f>B155</f>
        <v>44328671.455806822</v>
      </c>
      <c r="C544" s="14">
        <f t="shared" ref="C544:K544" si="566">C155</f>
        <v>44328671.455806822</v>
      </c>
      <c r="D544" s="14">
        <f t="shared" si="566"/>
        <v>44328671.455806822</v>
      </c>
      <c r="E544" s="14">
        <f t="shared" si="566"/>
        <v>44328671.455806822</v>
      </c>
      <c r="F544" s="14">
        <f t="shared" si="566"/>
        <v>44328671.455806822</v>
      </c>
      <c r="G544" s="14">
        <f t="shared" si="566"/>
        <v>44328671.455806822</v>
      </c>
      <c r="H544" s="14">
        <f t="shared" si="566"/>
        <v>44328671.455806822</v>
      </c>
      <c r="I544" s="14">
        <f t="shared" si="566"/>
        <v>44328671.455806822</v>
      </c>
      <c r="J544" s="14">
        <f t="shared" si="566"/>
        <v>44328671.455806822</v>
      </c>
      <c r="K544" s="14">
        <f t="shared" si="566"/>
        <v>44328671.455806822</v>
      </c>
      <c r="L544" s="5">
        <f t="shared" ref="L544:L548" si="567">AVERAGE(B544:K544)</f>
        <v>44328671.455806829</v>
      </c>
    </row>
    <row r="545" spans="1:12" x14ac:dyDescent="0.25">
      <c r="A545" s="4" t="s">
        <v>50</v>
      </c>
      <c r="B545" s="14">
        <f>B226</f>
        <v>35839919.067749999</v>
      </c>
      <c r="C545" s="14">
        <f t="shared" ref="C545:K545" si="568">C226</f>
        <v>35839919.067749999</v>
      </c>
      <c r="D545" s="14">
        <f t="shared" si="568"/>
        <v>35839919.067749999</v>
      </c>
      <c r="E545" s="14">
        <f t="shared" si="568"/>
        <v>35839919.067749999</v>
      </c>
      <c r="F545" s="14">
        <f t="shared" si="568"/>
        <v>35839919.067749999</v>
      </c>
      <c r="G545" s="14">
        <f t="shared" si="568"/>
        <v>35839919.067749999</v>
      </c>
      <c r="H545" s="14">
        <f t="shared" si="568"/>
        <v>35839919.067749999</v>
      </c>
      <c r="I545" s="14">
        <f t="shared" si="568"/>
        <v>35839919.067749999</v>
      </c>
      <c r="J545" s="14">
        <f t="shared" si="568"/>
        <v>35839919.067749999</v>
      </c>
      <c r="K545" s="14">
        <f t="shared" si="568"/>
        <v>35839919.067749999</v>
      </c>
      <c r="L545" s="5">
        <f t="shared" si="567"/>
        <v>35839919.067749992</v>
      </c>
    </row>
    <row r="546" spans="1:12" x14ac:dyDescent="0.25">
      <c r="A546" s="4" t="s">
        <v>33</v>
      </c>
      <c r="B546" s="14">
        <f>B297</f>
        <v>52187951.761067331</v>
      </c>
      <c r="C546" s="14">
        <f t="shared" ref="C546:K546" si="569">C297</f>
        <v>52187951.761067331</v>
      </c>
      <c r="D546" s="14">
        <f t="shared" si="569"/>
        <v>52187951.761067331</v>
      </c>
      <c r="E546" s="14">
        <f t="shared" si="569"/>
        <v>52187951.761067331</v>
      </c>
      <c r="F546" s="14">
        <f t="shared" si="569"/>
        <v>52187951.761067331</v>
      </c>
      <c r="G546" s="14">
        <f t="shared" si="569"/>
        <v>52187951.761067331</v>
      </c>
      <c r="H546" s="14">
        <f t="shared" si="569"/>
        <v>52187951.761067331</v>
      </c>
      <c r="I546" s="14">
        <f t="shared" si="569"/>
        <v>52187951.761067331</v>
      </c>
      <c r="J546" s="14">
        <f t="shared" si="569"/>
        <v>52187951.761067331</v>
      </c>
      <c r="K546" s="14">
        <f t="shared" si="569"/>
        <v>52187951.761067331</v>
      </c>
      <c r="L546" s="5">
        <f t="shared" si="567"/>
        <v>52187951.761067331</v>
      </c>
    </row>
    <row r="547" spans="1:12" x14ac:dyDescent="0.25">
      <c r="A547" s="4" t="s">
        <v>32</v>
      </c>
      <c r="B547" s="14">
        <f>B368</f>
        <v>34285854.535066664</v>
      </c>
      <c r="C547" s="14">
        <f t="shared" ref="C547:K547" si="570">C368</f>
        <v>34285854.535066664</v>
      </c>
      <c r="D547" s="14">
        <f t="shared" si="570"/>
        <v>34285854.535066664</v>
      </c>
      <c r="E547" s="14">
        <f t="shared" si="570"/>
        <v>34285854.535066664</v>
      </c>
      <c r="F547" s="14">
        <f t="shared" si="570"/>
        <v>34285854.535066664</v>
      </c>
      <c r="G547" s="14">
        <f t="shared" si="570"/>
        <v>34285854.535066664</v>
      </c>
      <c r="H547" s="14">
        <f t="shared" si="570"/>
        <v>34285854.535066664</v>
      </c>
      <c r="I547" s="14">
        <f t="shared" si="570"/>
        <v>34285854.535066664</v>
      </c>
      <c r="J547" s="14">
        <f t="shared" si="570"/>
        <v>34285854.535066664</v>
      </c>
      <c r="K547" s="14">
        <f t="shared" si="570"/>
        <v>34285854.535066664</v>
      </c>
      <c r="L547" s="5">
        <f t="shared" si="567"/>
        <v>34285854.535066664</v>
      </c>
    </row>
    <row r="548" spans="1:12" x14ac:dyDescent="0.25">
      <c r="A548" s="4" t="s">
        <v>34</v>
      </c>
      <c r="B548" s="14">
        <f>B439</f>
        <v>53993494.475275807</v>
      </c>
      <c r="C548" s="14">
        <f t="shared" ref="C548:K548" si="571">C439</f>
        <v>53993494.475275807</v>
      </c>
      <c r="D548" s="14">
        <f t="shared" si="571"/>
        <v>53993494.475275807</v>
      </c>
      <c r="E548" s="14">
        <f t="shared" si="571"/>
        <v>53993494.475275807</v>
      </c>
      <c r="F548" s="14">
        <f t="shared" si="571"/>
        <v>53993494.475275807</v>
      </c>
      <c r="G548" s="14">
        <f t="shared" si="571"/>
        <v>53993494.475275807</v>
      </c>
      <c r="H548" s="14">
        <f t="shared" si="571"/>
        <v>53993494.475275807</v>
      </c>
      <c r="I548" s="14">
        <f t="shared" si="571"/>
        <v>53993494.475275807</v>
      </c>
      <c r="J548" s="14">
        <f t="shared" si="571"/>
        <v>53993494.475275807</v>
      </c>
      <c r="K548" s="14">
        <f t="shared" si="571"/>
        <v>53993494.475275807</v>
      </c>
      <c r="L548" s="5">
        <f t="shared" si="567"/>
        <v>53993494.4752758</v>
      </c>
    </row>
    <row r="550" spans="1:12" ht="30" x14ac:dyDescent="0.25">
      <c r="A550" s="15" t="s">
        <v>94</v>
      </c>
      <c r="B550" s="12" t="str">
        <f>'Summary dashboard'!C4</f>
        <v>2023</v>
      </c>
      <c r="C550" s="12">
        <f t="shared" ref="C550" si="572">B550+1</f>
        <v>2024</v>
      </c>
      <c r="D550" s="12">
        <f t="shared" ref="D550" si="573">C550+1</f>
        <v>2025</v>
      </c>
      <c r="E550" s="12">
        <f t="shared" ref="E550" si="574">D550+1</f>
        <v>2026</v>
      </c>
      <c r="F550" s="12">
        <f t="shared" ref="F550" si="575">E550+1</f>
        <v>2027</v>
      </c>
      <c r="G550" s="12">
        <f t="shared" ref="G550" si="576">F550+1</f>
        <v>2028</v>
      </c>
      <c r="H550" s="12">
        <f t="shared" ref="H550" si="577">G550+1</f>
        <v>2029</v>
      </c>
      <c r="I550" s="12">
        <f t="shared" ref="I550" si="578">H550+1</f>
        <v>2030</v>
      </c>
      <c r="J550" s="12">
        <f t="shared" ref="J550" si="579">I550+1</f>
        <v>2031</v>
      </c>
      <c r="K550" s="12">
        <f t="shared" ref="K550" si="580">J550+1</f>
        <v>2032</v>
      </c>
    </row>
    <row r="551" spans="1:12" x14ac:dyDescent="0.25">
      <c r="A551" s="20" t="s">
        <v>35</v>
      </c>
      <c r="B551" s="120">
        <f>B73+B144+B215+B286+B357+B428</f>
        <v>53303003.111224517</v>
      </c>
      <c r="C551" s="120">
        <f t="shared" ref="C551:K551" si="581">C73+C144+C215+C286+C357+C428</f>
        <v>53303003.111224517</v>
      </c>
      <c r="D551" s="120">
        <f t="shared" si="581"/>
        <v>53303003.111224517</v>
      </c>
      <c r="E551" s="120">
        <f t="shared" si="581"/>
        <v>53303003.111224517</v>
      </c>
      <c r="F551" s="120">
        <f t="shared" si="581"/>
        <v>53303003.111224517</v>
      </c>
      <c r="G551" s="120">
        <f t="shared" si="581"/>
        <v>53303003.111224517</v>
      </c>
      <c r="H551" s="120">
        <f t="shared" si="581"/>
        <v>53303003.111224517</v>
      </c>
      <c r="I551" s="120">
        <f t="shared" si="581"/>
        <v>53303003.111224517</v>
      </c>
      <c r="J551" s="120">
        <f t="shared" si="581"/>
        <v>53303003.111224517</v>
      </c>
      <c r="K551" s="120">
        <f t="shared" si="581"/>
        <v>53303003.111224517</v>
      </c>
    </row>
    <row r="552" spans="1:12" x14ac:dyDescent="0.25">
      <c r="A552" s="20" t="s">
        <v>36</v>
      </c>
      <c r="B552" s="120">
        <f t="shared" ref="B552:K552" si="582">B74+B145+B216+B287+B358+B429</f>
        <v>6462458.8824942103</v>
      </c>
      <c r="C552" s="120">
        <f t="shared" si="582"/>
        <v>6462458.8824942103</v>
      </c>
      <c r="D552" s="120">
        <f t="shared" si="582"/>
        <v>6462458.8824942103</v>
      </c>
      <c r="E552" s="120">
        <f t="shared" si="582"/>
        <v>6462458.8824942103</v>
      </c>
      <c r="F552" s="120">
        <f t="shared" si="582"/>
        <v>6462458.8824942103</v>
      </c>
      <c r="G552" s="120">
        <f t="shared" si="582"/>
        <v>6462458.8824942103</v>
      </c>
      <c r="H552" s="120">
        <f t="shared" si="582"/>
        <v>6462458.8824942103</v>
      </c>
      <c r="I552" s="120">
        <f t="shared" si="582"/>
        <v>6462458.8824942103</v>
      </c>
      <c r="J552" s="120">
        <f t="shared" si="582"/>
        <v>6462458.8824942103</v>
      </c>
      <c r="K552" s="120">
        <f t="shared" si="582"/>
        <v>6462458.8824942103</v>
      </c>
    </row>
    <row r="553" spans="1:12" x14ac:dyDescent="0.25">
      <c r="A553" s="20" t="s">
        <v>11</v>
      </c>
      <c r="B553" s="120">
        <f t="shared" ref="B553:K553" si="583">B75+B146+B217+B288+B359+B430</f>
        <v>0</v>
      </c>
      <c r="C553" s="120">
        <f t="shared" si="583"/>
        <v>0</v>
      </c>
      <c r="D553" s="120">
        <f t="shared" si="583"/>
        <v>0</v>
      </c>
      <c r="E553" s="120">
        <f t="shared" si="583"/>
        <v>0</v>
      </c>
      <c r="F553" s="120">
        <f t="shared" si="583"/>
        <v>0</v>
      </c>
      <c r="G553" s="120">
        <f t="shared" si="583"/>
        <v>0</v>
      </c>
      <c r="H553" s="120">
        <f t="shared" si="583"/>
        <v>0</v>
      </c>
      <c r="I553" s="120">
        <f t="shared" si="583"/>
        <v>0</v>
      </c>
      <c r="J553" s="120">
        <f t="shared" si="583"/>
        <v>0</v>
      </c>
      <c r="K553" s="120">
        <f t="shared" si="583"/>
        <v>0</v>
      </c>
    </row>
    <row r="554" spans="1:12" x14ac:dyDescent="0.25">
      <c r="A554" s="20" t="s">
        <v>124</v>
      </c>
      <c r="B554" s="120">
        <f t="shared" ref="B554:K554" si="584">B76+B147+B218+B289+B360+B431</f>
        <v>9270454.7760595009</v>
      </c>
      <c r="C554" s="120">
        <f t="shared" si="584"/>
        <v>9270454.7760595009</v>
      </c>
      <c r="D554" s="120">
        <f t="shared" si="584"/>
        <v>9270454.7760595009</v>
      </c>
      <c r="E554" s="120">
        <f t="shared" si="584"/>
        <v>9270454.7760595009</v>
      </c>
      <c r="F554" s="120">
        <f t="shared" si="584"/>
        <v>9270454.7760595009</v>
      </c>
      <c r="G554" s="120">
        <f t="shared" si="584"/>
        <v>9270454.7760595009</v>
      </c>
      <c r="H554" s="120">
        <f t="shared" si="584"/>
        <v>9270454.7760595009</v>
      </c>
      <c r="I554" s="120">
        <f t="shared" si="584"/>
        <v>9270454.7760595009</v>
      </c>
      <c r="J554" s="120">
        <f t="shared" si="584"/>
        <v>9270454.7760595009</v>
      </c>
      <c r="K554" s="120">
        <f t="shared" si="584"/>
        <v>9270454.7760595009</v>
      </c>
    </row>
    <row r="555" spans="1:12" x14ac:dyDescent="0.25">
      <c r="A555" s="20" t="s">
        <v>12</v>
      </c>
      <c r="B555" s="120">
        <f t="shared" ref="B555:K555" si="585">B77+B148+B219+B290+B361+B432</f>
        <v>8772284.4172544777</v>
      </c>
      <c r="C555" s="120">
        <f t="shared" si="585"/>
        <v>8772284.4172544777</v>
      </c>
      <c r="D555" s="120">
        <f t="shared" si="585"/>
        <v>8772284.4172544777</v>
      </c>
      <c r="E555" s="120">
        <f t="shared" si="585"/>
        <v>8772284.4172544777</v>
      </c>
      <c r="F555" s="120">
        <f t="shared" si="585"/>
        <v>8772284.4172544777</v>
      </c>
      <c r="G555" s="120">
        <f t="shared" si="585"/>
        <v>8772284.4172544777</v>
      </c>
      <c r="H555" s="120">
        <f t="shared" si="585"/>
        <v>8772284.4172544777</v>
      </c>
      <c r="I555" s="120">
        <f t="shared" si="585"/>
        <v>8772284.4172544777</v>
      </c>
      <c r="J555" s="120">
        <f t="shared" si="585"/>
        <v>8772284.4172544777</v>
      </c>
      <c r="K555" s="120">
        <f t="shared" si="585"/>
        <v>8772284.4172544777</v>
      </c>
    </row>
    <row r="556" spans="1:12" x14ac:dyDescent="0.25">
      <c r="A556" s="20" t="s">
        <v>13</v>
      </c>
      <c r="B556" s="120">
        <f t="shared" ref="B556:K556" si="586">B78+B149+B220+B291+B362+B433</f>
        <v>1523514.8737484859</v>
      </c>
      <c r="C556" s="120">
        <f t="shared" si="586"/>
        <v>1523514.8737484859</v>
      </c>
      <c r="D556" s="120">
        <f t="shared" si="586"/>
        <v>1523514.8737484859</v>
      </c>
      <c r="E556" s="120">
        <f t="shared" si="586"/>
        <v>1523514.8737484859</v>
      </c>
      <c r="F556" s="120">
        <f t="shared" si="586"/>
        <v>1523514.8737484859</v>
      </c>
      <c r="G556" s="120">
        <f t="shared" si="586"/>
        <v>1523514.8737484859</v>
      </c>
      <c r="H556" s="120">
        <f t="shared" si="586"/>
        <v>1523514.8737484859</v>
      </c>
      <c r="I556" s="120">
        <f t="shared" si="586"/>
        <v>1523514.8737484859</v>
      </c>
      <c r="J556" s="120">
        <f t="shared" si="586"/>
        <v>1523514.8737484859</v>
      </c>
      <c r="K556" s="120">
        <f t="shared" si="586"/>
        <v>1523514.8737484859</v>
      </c>
    </row>
    <row r="557" spans="1:12" x14ac:dyDescent="0.25">
      <c r="A557" s="20" t="s">
        <v>14</v>
      </c>
      <c r="B557" s="120">
        <f t="shared" ref="B557:K557" si="587">B79+B150+B221+B292+B363+B434</f>
        <v>0</v>
      </c>
      <c r="C557" s="120">
        <f t="shared" si="587"/>
        <v>0</v>
      </c>
      <c r="D557" s="120">
        <f t="shared" si="587"/>
        <v>0</v>
      </c>
      <c r="E557" s="120">
        <f t="shared" si="587"/>
        <v>0</v>
      </c>
      <c r="F557" s="120">
        <f t="shared" si="587"/>
        <v>0</v>
      </c>
      <c r="G557" s="120">
        <f t="shared" si="587"/>
        <v>0</v>
      </c>
      <c r="H557" s="120">
        <f t="shared" si="587"/>
        <v>0</v>
      </c>
      <c r="I557" s="120">
        <f t="shared" si="587"/>
        <v>0</v>
      </c>
      <c r="J557" s="120">
        <f t="shared" si="587"/>
        <v>0</v>
      </c>
      <c r="K557" s="120">
        <f t="shared" si="587"/>
        <v>0</v>
      </c>
    </row>
    <row r="558" spans="1:12" ht="30" x14ac:dyDescent="0.25">
      <c r="A558" s="20" t="s">
        <v>125</v>
      </c>
      <c r="B558" s="120">
        <f t="shared" ref="B558:K558" si="588">B80+B151+B222+B293+B364+B435</f>
        <v>9332645.0149517357</v>
      </c>
      <c r="C558" s="120">
        <f t="shared" si="588"/>
        <v>9332645.0149517357</v>
      </c>
      <c r="D558" s="120">
        <f t="shared" si="588"/>
        <v>9332645.0149517357</v>
      </c>
      <c r="E558" s="120">
        <f t="shared" si="588"/>
        <v>9332645.0149517357</v>
      </c>
      <c r="F558" s="120">
        <f t="shared" si="588"/>
        <v>9332645.0149517357</v>
      </c>
      <c r="G558" s="120">
        <f t="shared" si="588"/>
        <v>9332645.0149517357</v>
      </c>
      <c r="H558" s="120">
        <f t="shared" si="588"/>
        <v>9332645.0149517357</v>
      </c>
      <c r="I558" s="120">
        <f t="shared" si="588"/>
        <v>9332645.0149517357</v>
      </c>
      <c r="J558" s="120">
        <f t="shared" si="588"/>
        <v>9332645.0149517357</v>
      </c>
      <c r="K558" s="120">
        <f t="shared" si="588"/>
        <v>9332645.0149517357</v>
      </c>
    </row>
    <row r="559" spans="1:12" x14ac:dyDescent="0.25">
      <c r="A559" s="20" t="s">
        <v>37</v>
      </c>
      <c r="B559" s="120">
        <f t="shared" ref="B559:K559" si="589">B81+B152+B223+B294+B365+B436</f>
        <v>100233180.17026624</v>
      </c>
      <c r="C559" s="120">
        <f t="shared" si="589"/>
        <v>100233180.17026624</v>
      </c>
      <c r="D559" s="120">
        <f t="shared" si="589"/>
        <v>100233180.17026624</v>
      </c>
      <c r="E559" s="120">
        <f t="shared" si="589"/>
        <v>100233180.17026624</v>
      </c>
      <c r="F559" s="120">
        <f t="shared" si="589"/>
        <v>100233180.17026624</v>
      </c>
      <c r="G559" s="120">
        <f t="shared" si="589"/>
        <v>100233180.17026624</v>
      </c>
      <c r="H559" s="120">
        <f t="shared" si="589"/>
        <v>100233180.17026624</v>
      </c>
      <c r="I559" s="120">
        <f t="shared" si="589"/>
        <v>100233180.17026624</v>
      </c>
      <c r="J559" s="120">
        <f t="shared" si="589"/>
        <v>100233180.17026624</v>
      </c>
      <c r="K559" s="120">
        <f t="shared" si="589"/>
        <v>100233180.17026624</v>
      </c>
    </row>
    <row r="560" spans="1:12" x14ac:dyDescent="0.25">
      <c r="A560" s="20" t="s">
        <v>38</v>
      </c>
      <c r="B560" s="120">
        <f t="shared" ref="B560:K560" si="590">B82+B153+B224+B295+B366+B437</f>
        <v>1960369.4865070442</v>
      </c>
      <c r="C560" s="120">
        <f t="shared" si="590"/>
        <v>1960369.4865070442</v>
      </c>
      <c r="D560" s="120">
        <f t="shared" si="590"/>
        <v>1960369.4865070442</v>
      </c>
      <c r="E560" s="120">
        <f t="shared" si="590"/>
        <v>1960369.4865070442</v>
      </c>
      <c r="F560" s="120">
        <f t="shared" si="590"/>
        <v>1960369.4865070442</v>
      </c>
      <c r="G560" s="120">
        <f t="shared" si="590"/>
        <v>1960369.4865070442</v>
      </c>
      <c r="H560" s="120">
        <f t="shared" si="590"/>
        <v>1960369.4865070442</v>
      </c>
      <c r="I560" s="120">
        <f t="shared" si="590"/>
        <v>1960369.4865070442</v>
      </c>
      <c r="J560" s="120">
        <f t="shared" si="590"/>
        <v>1960369.4865070442</v>
      </c>
      <c r="K560" s="120">
        <f t="shared" si="590"/>
        <v>1960369.4865070442</v>
      </c>
    </row>
    <row r="561" spans="1:11" x14ac:dyDescent="0.25">
      <c r="A561" s="20" t="s">
        <v>15</v>
      </c>
      <c r="B561" s="60">
        <f t="shared" ref="B561:K561" si="591">B83+B154+B225+B296+B367+B438</f>
        <v>72224898.039353758</v>
      </c>
      <c r="C561" s="60">
        <f t="shared" si="591"/>
        <v>72224898.039353758</v>
      </c>
      <c r="D561" s="60">
        <f t="shared" si="591"/>
        <v>72224898.039353758</v>
      </c>
      <c r="E561" s="60">
        <f t="shared" si="591"/>
        <v>72224898.039353758</v>
      </c>
      <c r="F561" s="60">
        <f t="shared" si="591"/>
        <v>72224898.039353758</v>
      </c>
      <c r="G561" s="60">
        <f t="shared" si="591"/>
        <v>72224898.039353758</v>
      </c>
      <c r="H561" s="60">
        <f t="shared" si="591"/>
        <v>72224898.039353758</v>
      </c>
      <c r="I561" s="60">
        <f t="shared" si="591"/>
        <v>72224898.039353758</v>
      </c>
      <c r="J561" s="60">
        <f t="shared" si="591"/>
        <v>72224898.039353758</v>
      </c>
      <c r="K561" s="60">
        <f t="shared" si="591"/>
        <v>72224898.039353758</v>
      </c>
    </row>
    <row r="562" spans="1:11" x14ac:dyDescent="0.25">
      <c r="B562" s="119">
        <f>SUM(B551:B561)</f>
        <v>263082808.77185997</v>
      </c>
      <c r="C562" s="119">
        <f t="shared" ref="C562:M562" si="592">SUM(C551:C561)</f>
        <v>263082808.77185997</v>
      </c>
      <c r="D562" s="119">
        <f t="shared" si="592"/>
        <v>263082808.77185997</v>
      </c>
      <c r="E562" s="119">
        <f t="shared" si="592"/>
        <v>263082808.77185997</v>
      </c>
      <c r="F562" s="119">
        <f t="shared" si="592"/>
        <v>263082808.77185997</v>
      </c>
      <c r="G562" s="119">
        <f t="shared" si="592"/>
        <v>263082808.77185997</v>
      </c>
      <c r="H562" s="119">
        <f t="shared" si="592"/>
        <v>263082808.77185997</v>
      </c>
      <c r="I562" s="119">
        <f t="shared" si="592"/>
        <v>263082808.77185997</v>
      </c>
      <c r="J562" s="119">
        <f t="shared" si="592"/>
        <v>263082808.77185997</v>
      </c>
      <c r="K562" s="119">
        <f t="shared" si="592"/>
        <v>263082808.77185997</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7EE4E-AE98-4807-BFF8-2455A4579807}">
  <dimension ref="A1:N491"/>
  <sheetViews>
    <sheetView workbookViewId="0"/>
  </sheetViews>
  <sheetFormatPr defaultRowHeight="15" x14ac:dyDescent="0.25"/>
  <cols>
    <col min="1" max="1" width="31.7109375" customWidth="1"/>
    <col min="2" max="11" width="13.85546875" bestFit="1" customWidth="1"/>
    <col min="12" max="12" width="13.5703125" bestFit="1" customWidth="1"/>
    <col min="13" max="14" width="12.42578125" bestFit="1" customWidth="1"/>
  </cols>
  <sheetData>
    <row r="1" spans="1:12" s="3" customFormat="1" x14ac:dyDescent="0.25">
      <c r="A1" s="2" t="s">
        <v>93</v>
      </c>
    </row>
    <row r="2" spans="1:12" x14ac:dyDescent="0.25">
      <c r="A2" t="s">
        <v>62</v>
      </c>
    </row>
    <row r="3" spans="1:12" s="3" customFormat="1" x14ac:dyDescent="0.25">
      <c r="A3" s="2" t="s">
        <v>42</v>
      </c>
    </row>
    <row r="5" spans="1:12" x14ac:dyDescent="0.25">
      <c r="A5" s="1" t="s">
        <v>60</v>
      </c>
      <c r="B5" s="12" t="str">
        <f>'Summary dashboard'!C4</f>
        <v>2023</v>
      </c>
      <c r="C5" s="12">
        <f t="shared" ref="C5:K5" si="0">B5+1</f>
        <v>2024</v>
      </c>
      <c r="D5" s="12">
        <f t="shared" si="0"/>
        <v>2025</v>
      </c>
      <c r="E5" s="12">
        <f t="shared" si="0"/>
        <v>2026</v>
      </c>
      <c r="F5" s="12">
        <f t="shared" si="0"/>
        <v>2027</v>
      </c>
      <c r="G5" s="12">
        <f t="shared" si="0"/>
        <v>2028</v>
      </c>
      <c r="H5" s="12">
        <f t="shared" si="0"/>
        <v>2029</v>
      </c>
      <c r="I5" s="12">
        <f t="shared" si="0"/>
        <v>2030</v>
      </c>
      <c r="J5" s="12">
        <f t="shared" si="0"/>
        <v>2031</v>
      </c>
      <c r="K5" s="12">
        <f t="shared" si="0"/>
        <v>2032</v>
      </c>
      <c r="L5" s="1" t="s">
        <v>28</v>
      </c>
    </row>
    <row r="6" spans="1:12" x14ac:dyDescent="0.25">
      <c r="A6" s="4" t="s">
        <v>35</v>
      </c>
      <c r="B6" s="32">
        <f>IF(INDEX(E_budgeted!$B$3:$G$13,MATCH($A6,E_budgeted!$A$3:$A$13,0),MATCH($A$3,E_budgeted!$B$2:$G$2,0))&gt;0,MIN('Limpopo-Olifants CMA'!B44,E_budgeted!B30),'Limpopo-Olifants CMA'!B44)</f>
        <v>4985529.0415000003</v>
      </c>
      <c r="C6" s="32">
        <f>IF(INDEX(E_budgeted!$B$3:$G$13,MATCH($A6,E_budgeted!$A$3:$A$13,0),MATCH($A$3,E_budgeted!$B$2:$G$2,0))&gt;0,MIN('Limpopo-Olifants CMA'!C44,E_budgeted!C30),'Limpopo-Olifants CMA'!C44)</f>
        <v>4985529.0415000003</v>
      </c>
      <c r="D6" s="32">
        <f>IF(INDEX(E_budgeted!$B$3:$G$13,MATCH($A6,E_budgeted!$A$3:$A$13,0),MATCH($A$3,E_budgeted!$B$2:$G$2,0))&gt;0,MIN('Limpopo-Olifants CMA'!D44,E_budgeted!D30),'Limpopo-Olifants CMA'!D44)</f>
        <v>4985529.0415000003</v>
      </c>
      <c r="E6" s="32">
        <f>IF(INDEX(E_budgeted!$B$3:$G$13,MATCH($A6,E_budgeted!$A$3:$A$13,0),MATCH($A$3,E_budgeted!$B$2:$G$2,0))&gt;0,MIN('Limpopo-Olifants CMA'!E44,E_budgeted!E30),'Limpopo-Olifants CMA'!E44)</f>
        <v>4985529.0415000003</v>
      </c>
      <c r="F6" s="32">
        <f>IF(INDEX(E_budgeted!$B$3:$G$13,MATCH($A6,E_budgeted!$A$3:$A$13,0),MATCH($A$3,E_budgeted!$B$2:$G$2,0))&gt;0,MIN('Limpopo-Olifants CMA'!F44,E_budgeted!F30),'Limpopo-Olifants CMA'!F44)</f>
        <v>4985529.0415000003</v>
      </c>
      <c r="G6" s="32">
        <f>IF(INDEX(E_budgeted!$B$3:$G$13,MATCH($A6,E_budgeted!$A$3:$A$13,0),MATCH($A$3,E_budgeted!$B$2:$G$2,0))&gt;0,MIN('Limpopo-Olifants CMA'!G44,E_budgeted!G30),'Limpopo-Olifants CMA'!G44)</f>
        <v>4985529.0415000003</v>
      </c>
      <c r="H6" s="32">
        <f>IF(INDEX(E_budgeted!$B$3:$G$13,MATCH($A6,E_budgeted!$A$3:$A$13,0),MATCH($A$3,E_budgeted!$B$2:$G$2,0))&gt;0,MIN('Limpopo-Olifants CMA'!H44,E_budgeted!H30),'Limpopo-Olifants CMA'!H44)</f>
        <v>4985529.0415000003</v>
      </c>
      <c r="I6" s="32">
        <f>IF(INDEX(E_budgeted!$B$3:$G$13,MATCH($A6,E_budgeted!$A$3:$A$13,0),MATCH($A$3,E_budgeted!$B$2:$G$2,0))&gt;0,MIN('Limpopo-Olifants CMA'!I44,E_budgeted!I30),'Limpopo-Olifants CMA'!I44)</f>
        <v>4985529.0415000003</v>
      </c>
      <c r="J6" s="32">
        <f>IF(INDEX(E_budgeted!$B$3:$G$13,MATCH($A6,E_budgeted!$A$3:$A$13,0),MATCH($A$3,E_budgeted!$B$2:$G$2,0))&gt;0,MIN('Limpopo-Olifants CMA'!J44,E_budgeted!J30),'Limpopo-Olifants CMA'!J44)</f>
        <v>4985529.0415000003</v>
      </c>
      <c r="K6" s="32">
        <f>IF(INDEX(E_budgeted!$B$3:$G$13,MATCH($A6,E_budgeted!$A$3:$A$13,0),MATCH($A$3,E_budgeted!$B$2:$G$2,0))&gt;0,MIN('Limpopo-Olifants CMA'!K44,E_budgeted!K30),'Limpopo-Olifants CMA'!K44)</f>
        <v>4985529.0415000003</v>
      </c>
      <c r="L6" s="5">
        <f t="shared" ref="L6:L16" si="1">AVERAGE(B6:K6)</f>
        <v>4985529.0415000012</v>
      </c>
    </row>
    <row r="7" spans="1:12" x14ac:dyDescent="0.25">
      <c r="A7" s="4" t="s">
        <v>36</v>
      </c>
      <c r="B7" s="32">
        <f>IF(INDEX(E_budgeted!$B$3:$G$13,MATCH($A7,E_budgeted!$A$3:$A$13,0),MATCH($A$3,E_budgeted!$B$2:$G$2,0))&gt;0,MIN('Limpopo-Olifants CMA'!B45,E_budgeted!B31),'Limpopo-Olifants CMA'!B45)</f>
        <v>3607098.0599999996</v>
      </c>
      <c r="C7" s="32">
        <f>IF(INDEX(E_budgeted!$B$3:$G$13,MATCH($A7,E_budgeted!$A$3:$A$13,0),MATCH($A$3,E_budgeted!$B$2:$G$2,0))&gt;0,MIN('Limpopo-Olifants CMA'!C45,E_budgeted!C31),'Limpopo-Olifants CMA'!C45)</f>
        <v>3607098.0599999996</v>
      </c>
      <c r="D7" s="32">
        <f>IF(INDEX(E_budgeted!$B$3:$G$13,MATCH($A7,E_budgeted!$A$3:$A$13,0),MATCH($A$3,E_budgeted!$B$2:$G$2,0))&gt;0,MIN('Limpopo-Olifants CMA'!D45,E_budgeted!D31),'Limpopo-Olifants CMA'!D45)</f>
        <v>3607098.0599999996</v>
      </c>
      <c r="E7" s="32">
        <f>IF(INDEX(E_budgeted!$B$3:$G$13,MATCH($A7,E_budgeted!$A$3:$A$13,0),MATCH($A$3,E_budgeted!$B$2:$G$2,0))&gt;0,MIN('Limpopo-Olifants CMA'!E45,E_budgeted!E31),'Limpopo-Olifants CMA'!E45)</f>
        <v>3607098.0599999996</v>
      </c>
      <c r="F7" s="32">
        <f>IF(INDEX(E_budgeted!$B$3:$G$13,MATCH($A7,E_budgeted!$A$3:$A$13,0),MATCH($A$3,E_budgeted!$B$2:$G$2,0))&gt;0,MIN('Limpopo-Olifants CMA'!F45,E_budgeted!F31),'Limpopo-Olifants CMA'!F45)</f>
        <v>3607098.0599999996</v>
      </c>
      <c r="G7" s="32">
        <f>IF(INDEX(E_budgeted!$B$3:$G$13,MATCH($A7,E_budgeted!$A$3:$A$13,0),MATCH($A$3,E_budgeted!$B$2:$G$2,0))&gt;0,MIN('Limpopo-Olifants CMA'!G45,E_budgeted!G31),'Limpopo-Olifants CMA'!G45)</f>
        <v>3607098.0599999996</v>
      </c>
      <c r="H7" s="32">
        <f>IF(INDEX(E_budgeted!$B$3:$G$13,MATCH($A7,E_budgeted!$A$3:$A$13,0),MATCH($A$3,E_budgeted!$B$2:$G$2,0))&gt;0,MIN('Limpopo-Olifants CMA'!H45,E_budgeted!H31),'Limpopo-Olifants CMA'!H45)</f>
        <v>3607098.0599999996</v>
      </c>
      <c r="I7" s="32">
        <f>IF(INDEX(E_budgeted!$B$3:$G$13,MATCH($A7,E_budgeted!$A$3:$A$13,0),MATCH($A$3,E_budgeted!$B$2:$G$2,0))&gt;0,MIN('Limpopo-Olifants CMA'!I45,E_budgeted!I31),'Limpopo-Olifants CMA'!I45)</f>
        <v>3607098.0599999996</v>
      </c>
      <c r="J7" s="32">
        <f>IF(INDEX(E_budgeted!$B$3:$G$13,MATCH($A7,E_budgeted!$A$3:$A$13,0),MATCH($A$3,E_budgeted!$B$2:$G$2,0))&gt;0,MIN('Limpopo-Olifants CMA'!J45,E_budgeted!J31),'Limpopo-Olifants CMA'!J45)</f>
        <v>3607098.0599999996</v>
      </c>
      <c r="K7" s="32">
        <f>IF(INDEX(E_budgeted!$B$3:$G$13,MATCH($A7,E_budgeted!$A$3:$A$13,0),MATCH($A$3,E_budgeted!$B$2:$G$2,0))&gt;0,MIN('Limpopo-Olifants CMA'!K45,E_budgeted!K31),'Limpopo-Olifants CMA'!K45)</f>
        <v>3607098.0599999996</v>
      </c>
      <c r="L7" s="5">
        <f t="shared" si="1"/>
        <v>3607098.0599999996</v>
      </c>
    </row>
    <row r="8" spans="1:12" x14ac:dyDescent="0.25">
      <c r="A8" s="4" t="s">
        <v>11</v>
      </c>
      <c r="B8" s="32">
        <f>IF(INDEX(E_budgeted!$B$3:$G$13,MATCH($A8,E_budgeted!$A$3:$A$13,0),MATCH($A$3,E_budgeted!$B$2:$G$2,0))&gt;0,MIN('Limpopo-Olifants CMA'!B46,E_budgeted!B32),'Limpopo-Olifants CMA'!B46)</f>
        <v>0</v>
      </c>
      <c r="C8" s="32">
        <f>IF(INDEX(E_budgeted!$B$3:$G$13,MATCH($A8,E_budgeted!$A$3:$A$13,0),MATCH($A$3,E_budgeted!$B$2:$G$2,0))&gt;0,MIN('Limpopo-Olifants CMA'!C46,E_budgeted!C32),'Limpopo-Olifants CMA'!C46)</f>
        <v>0</v>
      </c>
      <c r="D8" s="32">
        <f>IF(INDEX(E_budgeted!$B$3:$G$13,MATCH($A8,E_budgeted!$A$3:$A$13,0),MATCH($A$3,E_budgeted!$B$2:$G$2,0))&gt;0,MIN('Limpopo-Olifants CMA'!D46,E_budgeted!D32),'Limpopo-Olifants CMA'!D46)</f>
        <v>0</v>
      </c>
      <c r="E8" s="32">
        <f>IF(INDEX(E_budgeted!$B$3:$G$13,MATCH($A8,E_budgeted!$A$3:$A$13,0),MATCH($A$3,E_budgeted!$B$2:$G$2,0))&gt;0,MIN('Limpopo-Olifants CMA'!E46,E_budgeted!E32),'Limpopo-Olifants CMA'!E46)</f>
        <v>0</v>
      </c>
      <c r="F8" s="32">
        <f>IF(INDEX(E_budgeted!$B$3:$G$13,MATCH($A8,E_budgeted!$A$3:$A$13,0),MATCH($A$3,E_budgeted!$B$2:$G$2,0))&gt;0,MIN('Limpopo-Olifants CMA'!F46,E_budgeted!F32),'Limpopo-Olifants CMA'!F46)</f>
        <v>0</v>
      </c>
      <c r="G8" s="32">
        <f>IF(INDEX(E_budgeted!$B$3:$G$13,MATCH($A8,E_budgeted!$A$3:$A$13,0),MATCH($A$3,E_budgeted!$B$2:$G$2,0))&gt;0,MIN('Limpopo-Olifants CMA'!G46,E_budgeted!G32),'Limpopo-Olifants CMA'!G46)</f>
        <v>0</v>
      </c>
      <c r="H8" s="32">
        <f>IF(INDEX(E_budgeted!$B$3:$G$13,MATCH($A8,E_budgeted!$A$3:$A$13,0),MATCH($A$3,E_budgeted!$B$2:$G$2,0))&gt;0,MIN('Limpopo-Olifants CMA'!H46,E_budgeted!H32),'Limpopo-Olifants CMA'!H46)</f>
        <v>0</v>
      </c>
      <c r="I8" s="32">
        <f>IF(INDEX(E_budgeted!$B$3:$G$13,MATCH($A8,E_budgeted!$A$3:$A$13,0),MATCH($A$3,E_budgeted!$B$2:$G$2,0))&gt;0,MIN('Limpopo-Olifants CMA'!I46,E_budgeted!I32),'Limpopo-Olifants CMA'!I46)</f>
        <v>0</v>
      </c>
      <c r="J8" s="32">
        <f>IF(INDEX(E_budgeted!$B$3:$G$13,MATCH($A8,E_budgeted!$A$3:$A$13,0),MATCH($A$3,E_budgeted!$B$2:$G$2,0))&gt;0,MIN('Limpopo-Olifants CMA'!J46,E_budgeted!J32),'Limpopo-Olifants CMA'!J46)</f>
        <v>0</v>
      </c>
      <c r="K8" s="32">
        <f>IF(INDEX(E_budgeted!$B$3:$G$13,MATCH($A8,E_budgeted!$A$3:$A$13,0),MATCH($A$3,E_budgeted!$B$2:$G$2,0))&gt;0,MIN('Limpopo-Olifants CMA'!K46,E_budgeted!K32),'Limpopo-Olifants CMA'!K46)</f>
        <v>0</v>
      </c>
      <c r="L8" s="5">
        <f t="shared" si="1"/>
        <v>0</v>
      </c>
    </row>
    <row r="9" spans="1:12" x14ac:dyDescent="0.25">
      <c r="A9" s="4" t="s">
        <v>124</v>
      </c>
      <c r="B9" s="32">
        <f>IF(INDEX(E_budgeted!$B$3:$G$13,MATCH($A9,E_budgeted!$A$3:$A$13,0),MATCH($A$3,E_budgeted!$B$2:$G$2,0))&gt;0,MIN('Limpopo-Olifants CMA'!B47,E_budgeted!B33),'Limpopo-Olifants CMA'!B47)</f>
        <v>500000</v>
      </c>
      <c r="C9" s="32">
        <f>IF(INDEX(E_budgeted!$B$3:$G$13,MATCH($A9,E_budgeted!$A$3:$A$13,0),MATCH($A$3,E_budgeted!$B$2:$G$2,0))&gt;0,MIN('Limpopo-Olifants CMA'!C47,E_budgeted!C33),'Limpopo-Olifants CMA'!C47)</f>
        <v>500000</v>
      </c>
      <c r="D9" s="32">
        <f>IF(INDEX(E_budgeted!$B$3:$G$13,MATCH($A9,E_budgeted!$A$3:$A$13,0),MATCH($A$3,E_budgeted!$B$2:$G$2,0))&gt;0,MIN('Limpopo-Olifants CMA'!D47,E_budgeted!D33),'Limpopo-Olifants CMA'!D47)</f>
        <v>500000</v>
      </c>
      <c r="E9" s="32">
        <f>IF(INDEX(E_budgeted!$B$3:$G$13,MATCH($A9,E_budgeted!$A$3:$A$13,0),MATCH($A$3,E_budgeted!$B$2:$G$2,0))&gt;0,MIN('Limpopo-Olifants CMA'!E47,E_budgeted!E33),'Limpopo-Olifants CMA'!E47)</f>
        <v>500000</v>
      </c>
      <c r="F9" s="32">
        <f>IF(INDEX(E_budgeted!$B$3:$G$13,MATCH($A9,E_budgeted!$A$3:$A$13,0),MATCH($A$3,E_budgeted!$B$2:$G$2,0))&gt;0,MIN('Limpopo-Olifants CMA'!F47,E_budgeted!F33),'Limpopo-Olifants CMA'!F47)</f>
        <v>500000</v>
      </c>
      <c r="G9" s="32">
        <f>IF(INDEX(E_budgeted!$B$3:$G$13,MATCH($A9,E_budgeted!$A$3:$A$13,0),MATCH($A$3,E_budgeted!$B$2:$G$2,0))&gt;0,MIN('Limpopo-Olifants CMA'!G47,E_budgeted!G33),'Limpopo-Olifants CMA'!G47)</f>
        <v>500000</v>
      </c>
      <c r="H9" s="32">
        <f>IF(INDEX(E_budgeted!$B$3:$G$13,MATCH($A9,E_budgeted!$A$3:$A$13,0),MATCH($A$3,E_budgeted!$B$2:$G$2,0))&gt;0,MIN('Limpopo-Olifants CMA'!H47,E_budgeted!H33),'Limpopo-Olifants CMA'!H47)</f>
        <v>500000</v>
      </c>
      <c r="I9" s="32">
        <f>IF(INDEX(E_budgeted!$B$3:$G$13,MATCH($A9,E_budgeted!$A$3:$A$13,0),MATCH($A$3,E_budgeted!$B$2:$G$2,0))&gt;0,MIN('Limpopo-Olifants CMA'!I47,E_budgeted!I33),'Limpopo-Olifants CMA'!I47)</f>
        <v>500000</v>
      </c>
      <c r="J9" s="32">
        <f>IF(INDEX(E_budgeted!$B$3:$G$13,MATCH($A9,E_budgeted!$A$3:$A$13,0),MATCH($A$3,E_budgeted!$B$2:$G$2,0))&gt;0,MIN('Limpopo-Olifants CMA'!J47,E_budgeted!J33),'Limpopo-Olifants CMA'!J47)</f>
        <v>500000</v>
      </c>
      <c r="K9" s="32">
        <f>IF(INDEX(E_budgeted!$B$3:$G$13,MATCH($A9,E_budgeted!$A$3:$A$13,0),MATCH($A$3,E_budgeted!$B$2:$G$2,0))&gt;0,MIN('Limpopo-Olifants CMA'!K47,E_budgeted!K33),'Limpopo-Olifants CMA'!K47)</f>
        <v>500000</v>
      </c>
      <c r="L9" s="5">
        <f t="shared" si="1"/>
        <v>500000</v>
      </c>
    </row>
    <row r="10" spans="1:12" x14ac:dyDescent="0.25">
      <c r="A10" s="4" t="s">
        <v>12</v>
      </c>
      <c r="B10" s="32">
        <f>IF(INDEX(E_budgeted!$B$3:$G$13,MATCH($A10,E_budgeted!$A$3:$A$13,0),MATCH($A$3,E_budgeted!$B$2:$G$2,0))&gt;0,MIN('Limpopo-Olifants CMA'!B48,E_budgeted!B34),'Limpopo-Olifants CMA'!B48)</f>
        <v>23007240.546666663</v>
      </c>
      <c r="C10" s="32">
        <f>IF(INDEX(E_budgeted!$B$3:$G$13,MATCH($A10,E_budgeted!$A$3:$A$13,0),MATCH($A$3,E_budgeted!$B$2:$G$2,0))&gt;0,MIN('Limpopo-Olifants CMA'!C48,E_budgeted!C34),'Limpopo-Olifants CMA'!C48)</f>
        <v>23007240.546666663</v>
      </c>
      <c r="D10" s="32">
        <f>IF(INDEX(E_budgeted!$B$3:$G$13,MATCH($A10,E_budgeted!$A$3:$A$13,0),MATCH($A$3,E_budgeted!$B$2:$G$2,0))&gt;0,MIN('Limpopo-Olifants CMA'!D48,E_budgeted!D34),'Limpopo-Olifants CMA'!D48)</f>
        <v>23007240.546666663</v>
      </c>
      <c r="E10" s="32">
        <f>IF(INDEX(E_budgeted!$B$3:$G$13,MATCH($A10,E_budgeted!$A$3:$A$13,0),MATCH($A$3,E_budgeted!$B$2:$G$2,0))&gt;0,MIN('Limpopo-Olifants CMA'!E48,E_budgeted!E34),'Limpopo-Olifants CMA'!E48)</f>
        <v>23007240.546666663</v>
      </c>
      <c r="F10" s="32">
        <f>IF(INDEX(E_budgeted!$B$3:$G$13,MATCH($A10,E_budgeted!$A$3:$A$13,0),MATCH($A$3,E_budgeted!$B$2:$G$2,0))&gt;0,MIN('Limpopo-Olifants CMA'!F48,E_budgeted!F34),'Limpopo-Olifants CMA'!F48)</f>
        <v>23007240.546666663</v>
      </c>
      <c r="G10" s="32">
        <f>IF(INDEX(E_budgeted!$B$3:$G$13,MATCH($A10,E_budgeted!$A$3:$A$13,0),MATCH($A$3,E_budgeted!$B$2:$G$2,0))&gt;0,MIN('Limpopo-Olifants CMA'!G48,E_budgeted!G34),'Limpopo-Olifants CMA'!G48)</f>
        <v>23007240.546666663</v>
      </c>
      <c r="H10" s="32">
        <f>IF(INDEX(E_budgeted!$B$3:$G$13,MATCH($A10,E_budgeted!$A$3:$A$13,0),MATCH($A$3,E_budgeted!$B$2:$G$2,0))&gt;0,MIN('Limpopo-Olifants CMA'!H48,E_budgeted!H34),'Limpopo-Olifants CMA'!H48)</f>
        <v>23007240.546666663</v>
      </c>
      <c r="I10" s="32">
        <f>IF(INDEX(E_budgeted!$B$3:$G$13,MATCH($A10,E_budgeted!$A$3:$A$13,0),MATCH($A$3,E_budgeted!$B$2:$G$2,0))&gt;0,MIN('Limpopo-Olifants CMA'!I48,E_budgeted!I34),'Limpopo-Olifants CMA'!I48)</f>
        <v>23007240.546666663</v>
      </c>
      <c r="J10" s="32">
        <f>IF(INDEX(E_budgeted!$B$3:$G$13,MATCH($A10,E_budgeted!$A$3:$A$13,0),MATCH($A$3,E_budgeted!$B$2:$G$2,0))&gt;0,MIN('Limpopo-Olifants CMA'!J48,E_budgeted!J34),'Limpopo-Olifants CMA'!J48)</f>
        <v>23007240.546666663</v>
      </c>
      <c r="K10" s="32">
        <f>IF(INDEX(E_budgeted!$B$3:$G$13,MATCH($A10,E_budgeted!$A$3:$A$13,0),MATCH($A$3,E_budgeted!$B$2:$G$2,0))&gt;0,MIN('Limpopo-Olifants CMA'!K48,E_budgeted!K34),'Limpopo-Olifants CMA'!K48)</f>
        <v>23007240.546666663</v>
      </c>
      <c r="L10" s="5">
        <f t="shared" si="1"/>
        <v>23007240.546666659</v>
      </c>
    </row>
    <row r="11" spans="1:12" x14ac:dyDescent="0.25">
      <c r="A11" s="4" t="s">
        <v>13</v>
      </c>
      <c r="B11" s="32">
        <f>IF(INDEX(E_budgeted!$B$3:$G$13,MATCH($A11,E_budgeted!$A$3:$A$13,0),MATCH($A$3,E_budgeted!$B$2:$G$2,0))&gt;0,MIN('Limpopo-Olifants CMA'!B49,E_budgeted!B35),'Limpopo-Olifants CMA'!B49)</f>
        <v>0</v>
      </c>
      <c r="C11" s="32">
        <f>IF(INDEX(E_budgeted!$B$3:$G$13,MATCH($A11,E_budgeted!$A$3:$A$13,0),MATCH($A$3,E_budgeted!$B$2:$G$2,0))&gt;0,MIN('Limpopo-Olifants CMA'!C49,E_budgeted!C35),'Limpopo-Olifants CMA'!C49)</f>
        <v>0</v>
      </c>
      <c r="D11" s="32">
        <f>IF(INDEX(E_budgeted!$B$3:$G$13,MATCH($A11,E_budgeted!$A$3:$A$13,0),MATCH($A$3,E_budgeted!$B$2:$G$2,0))&gt;0,MIN('Limpopo-Olifants CMA'!D49,E_budgeted!D35),'Limpopo-Olifants CMA'!D49)</f>
        <v>0</v>
      </c>
      <c r="E11" s="32">
        <f>IF(INDEX(E_budgeted!$B$3:$G$13,MATCH($A11,E_budgeted!$A$3:$A$13,0),MATCH($A$3,E_budgeted!$B$2:$G$2,0))&gt;0,MIN('Limpopo-Olifants CMA'!E49,E_budgeted!E35),'Limpopo-Olifants CMA'!E49)</f>
        <v>0</v>
      </c>
      <c r="F11" s="32">
        <f>IF(INDEX(E_budgeted!$B$3:$G$13,MATCH($A11,E_budgeted!$A$3:$A$13,0),MATCH($A$3,E_budgeted!$B$2:$G$2,0))&gt;0,MIN('Limpopo-Olifants CMA'!F49,E_budgeted!F35),'Limpopo-Olifants CMA'!F49)</f>
        <v>0</v>
      </c>
      <c r="G11" s="32">
        <f>IF(INDEX(E_budgeted!$B$3:$G$13,MATCH($A11,E_budgeted!$A$3:$A$13,0),MATCH($A$3,E_budgeted!$B$2:$G$2,0))&gt;0,MIN('Limpopo-Olifants CMA'!G49,E_budgeted!G35),'Limpopo-Olifants CMA'!G49)</f>
        <v>0</v>
      </c>
      <c r="H11" s="32">
        <f>IF(INDEX(E_budgeted!$B$3:$G$13,MATCH($A11,E_budgeted!$A$3:$A$13,0),MATCH($A$3,E_budgeted!$B$2:$G$2,0))&gt;0,MIN('Limpopo-Olifants CMA'!H49,E_budgeted!H35),'Limpopo-Olifants CMA'!H49)</f>
        <v>0</v>
      </c>
      <c r="I11" s="32">
        <f>IF(INDEX(E_budgeted!$B$3:$G$13,MATCH($A11,E_budgeted!$A$3:$A$13,0),MATCH($A$3,E_budgeted!$B$2:$G$2,0))&gt;0,MIN('Limpopo-Olifants CMA'!I49,E_budgeted!I35),'Limpopo-Olifants CMA'!I49)</f>
        <v>0</v>
      </c>
      <c r="J11" s="32">
        <f>IF(INDEX(E_budgeted!$B$3:$G$13,MATCH($A11,E_budgeted!$A$3:$A$13,0),MATCH($A$3,E_budgeted!$B$2:$G$2,0))&gt;0,MIN('Limpopo-Olifants CMA'!J49,E_budgeted!J35),'Limpopo-Olifants CMA'!J49)</f>
        <v>0</v>
      </c>
      <c r="K11" s="32">
        <f>IF(INDEX(E_budgeted!$B$3:$G$13,MATCH($A11,E_budgeted!$A$3:$A$13,0),MATCH($A$3,E_budgeted!$B$2:$G$2,0))&gt;0,MIN('Limpopo-Olifants CMA'!K49,E_budgeted!K35),'Limpopo-Olifants CMA'!K49)</f>
        <v>0</v>
      </c>
      <c r="L11" s="5">
        <f t="shared" si="1"/>
        <v>0</v>
      </c>
    </row>
    <row r="12" spans="1:12" x14ac:dyDescent="0.25">
      <c r="A12" s="4" t="s">
        <v>14</v>
      </c>
      <c r="B12" s="32">
        <f>IF(INDEX(E_budgeted!$B$3:$G$13,MATCH($A12,E_budgeted!$A$3:$A$13,0),MATCH($A$3,E_budgeted!$B$2:$G$2,0))&gt;0,MIN('Limpopo-Olifants CMA'!B50,E_budgeted!B36),'Limpopo-Olifants CMA'!B50)</f>
        <v>0</v>
      </c>
      <c r="C12" s="32">
        <f>IF(INDEX(E_budgeted!$B$3:$G$13,MATCH($A12,E_budgeted!$A$3:$A$13,0),MATCH($A$3,E_budgeted!$B$2:$G$2,0))&gt;0,MIN('Limpopo-Olifants CMA'!C50,E_budgeted!C36),'Limpopo-Olifants CMA'!C50)</f>
        <v>0</v>
      </c>
      <c r="D12" s="32">
        <f>IF(INDEX(E_budgeted!$B$3:$G$13,MATCH($A12,E_budgeted!$A$3:$A$13,0),MATCH($A$3,E_budgeted!$B$2:$G$2,0))&gt;0,MIN('Limpopo-Olifants CMA'!D50,E_budgeted!D36),'Limpopo-Olifants CMA'!D50)</f>
        <v>0</v>
      </c>
      <c r="E12" s="32">
        <f>IF(INDEX(E_budgeted!$B$3:$G$13,MATCH($A12,E_budgeted!$A$3:$A$13,0),MATCH($A$3,E_budgeted!$B$2:$G$2,0))&gt;0,MIN('Limpopo-Olifants CMA'!E50,E_budgeted!E36),'Limpopo-Olifants CMA'!E50)</f>
        <v>0</v>
      </c>
      <c r="F12" s="32">
        <f>IF(INDEX(E_budgeted!$B$3:$G$13,MATCH($A12,E_budgeted!$A$3:$A$13,0),MATCH($A$3,E_budgeted!$B$2:$G$2,0))&gt;0,MIN('Limpopo-Olifants CMA'!F50,E_budgeted!F36),'Limpopo-Olifants CMA'!F50)</f>
        <v>0</v>
      </c>
      <c r="G12" s="32">
        <f>IF(INDEX(E_budgeted!$B$3:$G$13,MATCH($A12,E_budgeted!$A$3:$A$13,0),MATCH($A$3,E_budgeted!$B$2:$G$2,0))&gt;0,MIN('Limpopo-Olifants CMA'!G50,E_budgeted!G36),'Limpopo-Olifants CMA'!G50)</f>
        <v>0</v>
      </c>
      <c r="H12" s="32">
        <f>IF(INDEX(E_budgeted!$B$3:$G$13,MATCH($A12,E_budgeted!$A$3:$A$13,0),MATCH($A$3,E_budgeted!$B$2:$G$2,0))&gt;0,MIN('Limpopo-Olifants CMA'!H50,E_budgeted!H36),'Limpopo-Olifants CMA'!H50)</f>
        <v>0</v>
      </c>
      <c r="I12" s="32">
        <f>IF(INDEX(E_budgeted!$B$3:$G$13,MATCH($A12,E_budgeted!$A$3:$A$13,0),MATCH($A$3,E_budgeted!$B$2:$G$2,0))&gt;0,MIN('Limpopo-Olifants CMA'!I50,E_budgeted!I36),'Limpopo-Olifants CMA'!I50)</f>
        <v>0</v>
      </c>
      <c r="J12" s="32">
        <f>IF(INDEX(E_budgeted!$B$3:$G$13,MATCH($A12,E_budgeted!$A$3:$A$13,0),MATCH($A$3,E_budgeted!$B$2:$G$2,0))&gt;0,MIN('Limpopo-Olifants CMA'!J50,E_budgeted!J36),'Limpopo-Olifants CMA'!J50)</f>
        <v>0</v>
      </c>
      <c r="K12" s="32">
        <f>IF(INDEX(E_budgeted!$B$3:$G$13,MATCH($A12,E_budgeted!$A$3:$A$13,0),MATCH($A$3,E_budgeted!$B$2:$G$2,0))&gt;0,MIN('Limpopo-Olifants CMA'!K50,E_budgeted!K36),'Limpopo-Olifants CMA'!K50)</f>
        <v>0</v>
      </c>
      <c r="L12" s="5">
        <f t="shared" si="1"/>
        <v>0</v>
      </c>
    </row>
    <row r="13" spans="1:12" x14ac:dyDescent="0.25">
      <c r="A13" s="4" t="s">
        <v>125</v>
      </c>
      <c r="B13" s="32">
        <f>IF(INDEX(E_budgeted!$B$3:$G$13,MATCH($A13,E_budgeted!$A$3:$A$13,0),MATCH($A$3,E_budgeted!$B$2:$G$2,0))&gt;0,MIN('Limpopo-Olifants CMA'!B51,E_budgeted!B37),'Limpopo-Olifants CMA'!B51)</f>
        <v>1219575.5475191686</v>
      </c>
      <c r="C13" s="32">
        <f>IF(INDEX(E_budgeted!$B$3:$G$13,MATCH($A13,E_budgeted!$A$3:$A$13,0),MATCH($A$3,E_budgeted!$B$2:$G$2,0))&gt;0,MIN('Limpopo-Olifants CMA'!C51,E_budgeted!C37),'Limpopo-Olifants CMA'!C51)</f>
        <v>1219575.5475191686</v>
      </c>
      <c r="D13" s="32">
        <f>IF(INDEX(E_budgeted!$B$3:$G$13,MATCH($A13,E_budgeted!$A$3:$A$13,0),MATCH($A$3,E_budgeted!$B$2:$G$2,0))&gt;0,MIN('Limpopo-Olifants CMA'!D51,E_budgeted!D37),'Limpopo-Olifants CMA'!D51)</f>
        <v>1219575.5475191686</v>
      </c>
      <c r="E13" s="32">
        <f>IF(INDEX(E_budgeted!$B$3:$G$13,MATCH($A13,E_budgeted!$A$3:$A$13,0),MATCH($A$3,E_budgeted!$B$2:$G$2,0))&gt;0,MIN('Limpopo-Olifants CMA'!E51,E_budgeted!E37),'Limpopo-Olifants CMA'!E51)</f>
        <v>1219575.5475191686</v>
      </c>
      <c r="F13" s="32">
        <f>IF(INDEX(E_budgeted!$B$3:$G$13,MATCH($A13,E_budgeted!$A$3:$A$13,0),MATCH($A$3,E_budgeted!$B$2:$G$2,0))&gt;0,MIN('Limpopo-Olifants CMA'!F51,E_budgeted!F37),'Limpopo-Olifants CMA'!F51)</f>
        <v>1219575.5475191686</v>
      </c>
      <c r="G13" s="32">
        <f>IF(INDEX(E_budgeted!$B$3:$G$13,MATCH($A13,E_budgeted!$A$3:$A$13,0),MATCH($A$3,E_budgeted!$B$2:$G$2,0))&gt;0,MIN('Limpopo-Olifants CMA'!G51,E_budgeted!G37),'Limpopo-Olifants CMA'!G51)</f>
        <v>1219575.5475191686</v>
      </c>
      <c r="H13" s="32">
        <f>IF(INDEX(E_budgeted!$B$3:$G$13,MATCH($A13,E_budgeted!$A$3:$A$13,0),MATCH($A$3,E_budgeted!$B$2:$G$2,0))&gt;0,MIN('Limpopo-Olifants CMA'!H51,E_budgeted!H37),'Limpopo-Olifants CMA'!H51)</f>
        <v>1219575.5475191686</v>
      </c>
      <c r="I13" s="32">
        <f>IF(INDEX(E_budgeted!$B$3:$G$13,MATCH($A13,E_budgeted!$A$3:$A$13,0),MATCH($A$3,E_budgeted!$B$2:$G$2,0))&gt;0,MIN('Limpopo-Olifants CMA'!I51,E_budgeted!I37),'Limpopo-Olifants CMA'!I51)</f>
        <v>1219575.5475191686</v>
      </c>
      <c r="J13" s="32">
        <f>IF(INDEX(E_budgeted!$B$3:$G$13,MATCH($A13,E_budgeted!$A$3:$A$13,0),MATCH($A$3,E_budgeted!$B$2:$G$2,0))&gt;0,MIN('Limpopo-Olifants CMA'!J51,E_budgeted!J37),'Limpopo-Olifants CMA'!J51)</f>
        <v>1219575.5475191686</v>
      </c>
      <c r="K13" s="32">
        <f>IF(INDEX(E_budgeted!$B$3:$G$13,MATCH($A13,E_budgeted!$A$3:$A$13,0),MATCH($A$3,E_budgeted!$B$2:$G$2,0))&gt;0,MIN('Limpopo-Olifants CMA'!K51,E_budgeted!K37),'Limpopo-Olifants CMA'!K51)</f>
        <v>1219575.5475191686</v>
      </c>
      <c r="L13" s="5">
        <f t="shared" si="1"/>
        <v>1219575.5475191684</v>
      </c>
    </row>
    <row r="14" spans="1:12" x14ac:dyDescent="0.25">
      <c r="A14" s="4" t="s">
        <v>37</v>
      </c>
      <c r="B14" s="32">
        <f>IF(INDEX(E_budgeted!$B$3:$G$13,MATCH($A14,E_budgeted!$A$3:$A$13,0),MATCH($A$3,E_budgeted!$B$2:$G$2,0))&gt;0,MIN('Limpopo-Olifants CMA'!B52,E_budgeted!B38),'Limpopo-Olifants CMA'!B52)</f>
        <v>33951202.913499996</v>
      </c>
      <c r="C14" s="32">
        <f>IF(INDEX(E_budgeted!$B$3:$G$13,MATCH($A14,E_budgeted!$A$3:$A$13,0),MATCH($A$3,E_budgeted!$B$2:$G$2,0))&gt;0,MIN('Limpopo-Olifants CMA'!C52,E_budgeted!C38),'Limpopo-Olifants CMA'!C52)</f>
        <v>33951202.913499996</v>
      </c>
      <c r="D14" s="32">
        <f>IF(INDEX(E_budgeted!$B$3:$G$13,MATCH($A14,E_budgeted!$A$3:$A$13,0),MATCH($A$3,E_budgeted!$B$2:$G$2,0))&gt;0,MIN('Limpopo-Olifants CMA'!D52,E_budgeted!D38),'Limpopo-Olifants CMA'!D52)</f>
        <v>33951202.913499996</v>
      </c>
      <c r="E14" s="32">
        <f>IF(INDEX(E_budgeted!$B$3:$G$13,MATCH($A14,E_budgeted!$A$3:$A$13,0),MATCH($A$3,E_budgeted!$B$2:$G$2,0))&gt;0,MIN('Limpopo-Olifants CMA'!E52,E_budgeted!E38),'Limpopo-Olifants CMA'!E52)</f>
        <v>33951202.913499996</v>
      </c>
      <c r="F14" s="32">
        <f>IF(INDEX(E_budgeted!$B$3:$G$13,MATCH($A14,E_budgeted!$A$3:$A$13,0),MATCH($A$3,E_budgeted!$B$2:$G$2,0))&gt;0,MIN('Limpopo-Olifants CMA'!F52,E_budgeted!F38),'Limpopo-Olifants CMA'!F52)</f>
        <v>33951202.913499996</v>
      </c>
      <c r="G14" s="32">
        <f>IF(INDEX(E_budgeted!$B$3:$G$13,MATCH($A14,E_budgeted!$A$3:$A$13,0),MATCH($A$3,E_budgeted!$B$2:$G$2,0))&gt;0,MIN('Limpopo-Olifants CMA'!G52,E_budgeted!G38),'Limpopo-Olifants CMA'!G52)</f>
        <v>33951202.913499996</v>
      </c>
      <c r="H14" s="32">
        <f>IF(INDEX(E_budgeted!$B$3:$G$13,MATCH($A14,E_budgeted!$A$3:$A$13,0),MATCH($A$3,E_budgeted!$B$2:$G$2,0))&gt;0,MIN('Limpopo-Olifants CMA'!H52,E_budgeted!H38),'Limpopo-Olifants CMA'!H52)</f>
        <v>33951202.913499996</v>
      </c>
      <c r="I14" s="32">
        <f>IF(INDEX(E_budgeted!$B$3:$G$13,MATCH($A14,E_budgeted!$A$3:$A$13,0),MATCH($A$3,E_budgeted!$B$2:$G$2,0))&gt;0,MIN('Limpopo-Olifants CMA'!I52,E_budgeted!I38),'Limpopo-Olifants CMA'!I52)</f>
        <v>33951202.913499996</v>
      </c>
      <c r="J14" s="32">
        <f>IF(INDEX(E_budgeted!$B$3:$G$13,MATCH($A14,E_budgeted!$A$3:$A$13,0),MATCH($A$3,E_budgeted!$B$2:$G$2,0))&gt;0,MIN('Limpopo-Olifants CMA'!J52,E_budgeted!J38),'Limpopo-Olifants CMA'!J52)</f>
        <v>33951202.913499996</v>
      </c>
      <c r="K14" s="32">
        <f>IF(INDEX(E_budgeted!$B$3:$G$13,MATCH($A14,E_budgeted!$A$3:$A$13,0),MATCH($A$3,E_budgeted!$B$2:$G$2,0))&gt;0,MIN('Limpopo-Olifants CMA'!K52,E_budgeted!K38),'Limpopo-Olifants CMA'!K52)</f>
        <v>33951202.913499996</v>
      </c>
      <c r="L14" s="5">
        <f t="shared" si="1"/>
        <v>33951202.913500004</v>
      </c>
    </row>
    <row r="15" spans="1:12" x14ac:dyDescent="0.25">
      <c r="A15" s="4" t="s">
        <v>38</v>
      </c>
      <c r="B15" s="32">
        <f>IF(INDEX(E_budgeted!$B$3:$G$13,MATCH($A15,E_budgeted!$A$3:$A$13,0),MATCH($A$3,E_budgeted!$B$2:$G$2,0))&gt;0,MIN('Limpopo-Olifants CMA'!B53,E_budgeted!B39),'Limpopo-Olifants CMA'!B53)</f>
        <v>3370753.2299999995</v>
      </c>
      <c r="C15" s="32">
        <f>IF(INDEX(E_budgeted!$B$3:$G$13,MATCH($A15,E_budgeted!$A$3:$A$13,0),MATCH($A$3,E_budgeted!$B$2:$G$2,0))&gt;0,MIN('Limpopo-Olifants CMA'!C53,E_budgeted!C39),'Limpopo-Olifants CMA'!C53)</f>
        <v>3370753.2299999995</v>
      </c>
      <c r="D15" s="32">
        <f>IF(INDEX(E_budgeted!$B$3:$G$13,MATCH($A15,E_budgeted!$A$3:$A$13,0),MATCH($A$3,E_budgeted!$B$2:$G$2,0))&gt;0,MIN('Limpopo-Olifants CMA'!D53,E_budgeted!D39),'Limpopo-Olifants CMA'!D53)</f>
        <v>3370753.2299999995</v>
      </c>
      <c r="E15" s="32">
        <f>IF(INDEX(E_budgeted!$B$3:$G$13,MATCH($A15,E_budgeted!$A$3:$A$13,0),MATCH($A$3,E_budgeted!$B$2:$G$2,0))&gt;0,MIN('Limpopo-Olifants CMA'!E53,E_budgeted!E39),'Limpopo-Olifants CMA'!E53)</f>
        <v>3370753.2299999995</v>
      </c>
      <c r="F15" s="32">
        <f>IF(INDEX(E_budgeted!$B$3:$G$13,MATCH($A15,E_budgeted!$A$3:$A$13,0),MATCH($A$3,E_budgeted!$B$2:$G$2,0))&gt;0,MIN('Limpopo-Olifants CMA'!F53,E_budgeted!F39),'Limpopo-Olifants CMA'!F53)</f>
        <v>3370753.2299999995</v>
      </c>
      <c r="G15" s="32">
        <f>IF(INDEX(E_budgeted!$B$3:$G$13,MATCH($A15,E_budgeted!$A$3:$A$13,0),MATCH($A$3,E_budgeted!$B$2:$G$2,0))&gt;0,MIN('Limpopo-Olifants CMA'!G53,E_budgeted!G39),'Limpopo-Olifants CMA'!G53)</f>
        <v>3370753.2299999995</v>
      </c>
      <c r="H15" s="32">
        <f>IF(INDEX(E_budgeted!$B$3:$G$13,MATCH($A15,E_budgeted!$A$3:$A$13,0),MATCH($A$3,E_budgeted!$B$2:$G$2,0))&gt;0,MIN('Limpopo-Olifants CMA'!H53,E_budgeted!H39),'Limpopo-Olifants CMA'!H53)</f>
        <v>3370753.2299999995</v>
      </c>
      <c r="I15" s="32">
        <f>IF(INDEX(E_budgeted!$B$3:$G$13,MATCH($A15,E_budgeted!$A$3:$A$13,0),MATCH($A$3,E_budgeted!$B$2:$G$2,0))&gt;0,MIN('Limpopo-Olifants CMA'!I53,E_budgeted!I39),'Limpopo-Olifants CMA'!I53)</f>
        <v>3370753.2299999995</v>
      </c>
      <c r="J15" s="32">
        <f>IF(INDEX(E_budgeted!$B$3:$G$13,MATCH($A15,E_budgeted!$A$3:$A$13,0),MATCH($A$3,E_budgeted!$B$2:$G$2,0))&gt;0,MIN('Limpopo-Olifants CMA'!J53,E_budgeted!J39),'Limpopo-Olifants CMA'!J53)</f>
        <v>3370753.2299999995</v>
      </c>
      <c r="K15" s="32">
        <f>IF(INDEX(E_budgeted!$B$3:$G$13,MATCH($A15,E_budgeted!$A$3:$A$13,0),MATCH($A$3,E_budgeted!$B$2:$G$2,0))&gt;0,MIN('Limpopo-Olifants CMA'!K53,E_budgeted!K39),'Limpopo-Olifants CMA'!K53)</f>
        <v>3370753.2299999995</v>
      </c>
      <c r="L15" s="5">
        <f t="shared" si="1"/>
        <v>3370753.2299999995</v>
      </c>
    </row>
    <row r="16" spans="1:12" x14ac:dyDescent="0.25">
      <c r="A16" s="4" t="s">
        <v>15</v>
      </c>
      <c r="B16" s="13">
        <f>IF(INDEX(E_budgeted!$B$3:$G$13,MATCH($A16,E_budgeted!$A$3:$A$13,0),MATCH($A$3,E_budgeted!$B$2:$G$2,0))&gt;0,MIN('Limpopo-Olifants CMA'!B54,E_budgeted!B40),'Limpopo-Olifants CMA'!B54)</f>
        <v>41143054.976012312</v>
      </c>
      <c r="C16" s="13">
        <f>IF(INDEX(E_budgeted!$B$3:$G$13,MATCH($A16,E_budgeted!$A$3:$A$13,0),MATCH($A$3,E_budgeted!$B$2:$G$2,0))&gt;0,MIN('Limpopo-Olifants CMA'!C54,E_budgeted!C40),'Limpopo-Olifants CMA'!C54)</f>
        <v>41143054.976012312</v>
      </c>
      <c r="D16" s="13">
        <f>IF(INDEX(E_budgeted!$B$3:$G$13,MATCH($A16,E_budgeted!$A$3:$A$13,0),MATCH($A$3,E_budgeted!$B$2:$G$2,0))&gt;0,MIN('Limpopo-Olifants CMA'!D54,E_budgeted!D40),'Limpopo-Olifants CMA'!D54)</f>
        <v>41143054.976012312</v>
      </c>
      <c r="E16" s="13">
        <f>IF(INDEX(E_budgeted!$B$3:$G$13,MATCH($A16,E_budgeted!$A$3:$A$13,0),MATCH($A$3,E_budgeted!$B$2:$G$2,0))&gt;0,MIN('Limpopo-Olifants CMA'!E54,E_budgeted!E40),'Limpopo-Olifants CMA'!E54)</f>
        <v>41143054.976012312</v>
      </c>
      <c r="F16" s="13">
        <f>IF(INDEX(E_budgeted!$B$3:$G$13,MATCH($A16,E_budgeted!$A$3:$A$13,0),MATCH($A$3,E_budgeted!$B$2:$G$2,0))&gt;0,MIN('Limpopo-Olifants CMA'!F54,E_budgeted!F40),'Limpopo-Olifants CMA'!F54)</f>
        <v>41143054.976012312</v>
      </c>
      <c r="G16" s="13">
        <f>IF(INDEX(E_budgeted!$B$3:$G$13,MATCH($A16,E_budgeted!$A$3:$A$13,0),MATCH($A$3,E_budgeted!$B$2:$G$2,0))&gt;0,MIN('Limpopo-Olifants CMA'!G54,E_budgeted!G40),'Limpopo-Olifants CMA'!G54)</f>
        <v>41143054.976012312</v>
      </c>
      <c r="H16" s="13">
        <f>IF(INDEX(E_budgeted!$B$3:$G$13,MATCH($A16,E_budgeted!$A$3:$A$13,0),MATCH($A$3,E_budgeted!$B$2:$G$2,0))&gt;0,MIN('Limpopo-Olifants CMA'!H54,E_budgeted!H40),'Limpopo-Olifants CMA'!H54)</f>
        <v>41143054.976012312</v>
      </c>
      <c r="I16" s="13">
        <f>IF(INDEX(E_budgeted!$B$3:$G$13,MATCH($A16,E_budgeted!$A$3:$A$13,0),MATCH($A$3,E_budgeted!$B$2:$G$2,0))&gt;0,MIN('Limpopo-Olifants CMA'!I54,E_budgeted!I40),'Limpopo-Olifants CMA'!I54)</f>
        <v>41143054.976012312</v>
      </c>
      <c r="J16" s="13">
        <f>IF(INDEX(E_budgeted!$B$3:$G$13,MATCH($A16,E_budgeted!$A$3:$A$13,0),MATCH($A$3,E_budgeted!$B$2:$G$2,0))&gt;0,MIN('Limpopo-Olifants CMA'!J54,E_budgeted!J40),'Limpopo-Olifants CMA'!J54)</f>
        <v>41143054.976012312</v>
      </c>
      <c r="K16" s="13">
        <f>IF(INDEX(E_budgeted!$B$3:$G$13,MATCH($A16,E_budgeted!$A$3:$A$13,0),MATCH($A$3,E_budgeted!$B$2:$G$2,0))&gt;0,MIN('Limpopo-Olifants CMA'!K54,E_budgeted!K40),'Limpopo-Olifants CMA'!K54)</f>
        <v>41143054.976012312</v>
      </c>
      <c r="L16" s="5">
        <f t="shared" si="1"/>
        <v>41143054.976012304</v>
      </c>
    </row>
    <row r="17" spans="1:12" x14ac:dyDescent="0.25">
      <c r="B17" s="5">
        <f t="shared" ref="B17:K17" si="2">SUM(B6:B16)</f>
        <v>111784454.31519815</v>
      </c>
      <c r="C17" s="5">
        <f t="shared" si="2"/>
        <v>111784454.31519815</v>
      </c>
      <c r="D17" s="5">
        <f t="shared" si="2"/>
        <v>111784454.31519815</v>
      </c>
      <c r="E17" s="5">
        <f t="shared" si="2"/>
        <v>111784454.31519815</v>
      </c>
      <c r="F17" s="5">
        <f t="shared" si="2"/>
        <v>111784454.31519815</v>
      </c>
      <c r="G17" s="5">
        <f t="shared" si="2"/>
        <v>111784454.31519815</v>
      </c>
      <c r="H17" s="5">
        <f t="shared" si="2"/>
        <v>111784454.31519815</v>
      </c>
      <c r="I17" s="5">
        <f t="shared" si="2"/>
        <v>111784454.31519815</v>
      </c>
      <c r="J17" s="5">
        <f t="shared" si="2"/>
        <v>111784454.31519815</v>
      </c>
      <c r="K17" s="5">
        <f t="shared" si="2"/>
        <v>111784454.31519815</v>
      </c>
      <c r="L17" s="5"/>
    </row>
    <row r="19" spans="1:12" ht="30" x14ac:dyDescent="0.25">
      <c r="A19" s="15" t="s">
        <v>56</v>
      </c>
      <c r="B19" s="12" t="str">
        <f>'Summary dashboard'!C4</f>
        <v>2023</v>
      </c>
      <c r="C19" s="12">
        <f t="shared" ref="C19:K19" si="3">B19+1</f>
        <v>2024</v>
      </c>
      <c r="D19" s="12">
        <f t="shared" si="3"/>
        <v>2025</v>
      </c>
      <c r="E19" s="12">
        <f t="shared" si="3"/>
        <v>2026</v>
      </c>
      <c r="F19" s="12">
        <f t="shared" si="3"/>
        <v>2027</v>
      </c>
      <c r="G19" s="12">
        <f t="shared" si="3"/>
        <v>2028</v>
      </c>
      <c r="H19" s="12">
        <f t="shared" si="3"/>
        <v>2029</v>
      </c>
      <c r="I19" s="12">
        <f t="shared" si="3"/>
        <v>2030</v>
      </c>
      <c r="J19" s="12">
        <f t="shared" si="3"/>
        <v>2031</v>
      </c>
      <c r="K19" s="12">
        <f t="shared" si="3"/>
        <v>2032</v>
      </c>
      <c r="L19" s="1" t="s">
        <v>28</v>
      </c>
    </row>
    <row r="20" spans="1:12" x14ac:dyDescent="0.25">
      <c r="A20" s="4" t="s">
        <v>35</v>
      </c>
      <c r="B20" s="32">
        <f>IF(INDEX(E_budgeted!$B$3:$G$13,MATCH($A20,E_budgeted!$A$3:$A$13,0),MATCH($A$3,E_budgeted!$B$2:$G$2,0))&gt;0,MIN('Limpopo-Olifants CMA'!B58,E_budgeted!B44),'Limpopo-Olifants CMA'!B58)</f>
        <v>3838857.3619550001</v>
      </c>
      <c r="C20" s="5">
        <f>IF(INDEX(E_budgeted!$B$3:$G$13,MATCH($A20,E_budgeted!$A$3:$A$13,0),MATCH($A$3,E_budgeted!$B$2:$G$2,0))&gt;0,MIN('Limpopo-Olifants CMA'!C58,E_budgeted!C44),'Limpopo-Olifants CMA'!C58)</f>
        <v>3838857.3619550001</v>
      </c>
      <c r="D20" s="5">
        <f>IF(INDEX(E_budgeted!$B$3:$G$13,MATCH($A20,E_budgeted!$A$3:$A$13,0),MATCH($A$3,E_budgeted!$B$2:$G$2,0))&gt;0,MIN('Limpopo-Olifants CMA'!D58,E_budgeted!D44),'Limpopo-Olifants CMA'!D58)</f>
        <v>3838857.3619550001</v>
      </c>
      <c r="E20" s="5">
        <f>IF(INDEX(E_budgeted!$B$3:$G$13,MATCH($A20,E_budgeted!$A$3:$A$13,0),MATCH($A$3,E_budgeted!$B$2:$G$2,0))&gt;0,MIN('Limpopo-Olifants CMA'!E58,E_budgeted!E44),'Limpopo-Olifants CMA'!E58)</f>
        <v>3838857.3619550001</v>
      </c>
      <c r="F20" s="5">
        <f>IF(INDEX(E_budgeted!$B$3:$G$13,MATCH($A20,E_budgeted!$A$3:$A$13,0),MATCH($A$3,E_budgeted!$B$2:$G$2,0))&gt;0,MIN('Limpopo-Olifants CMA'!F58,E_budgeted!F44),'Limpopo-Olifants CMA'!F58)</f>
        <v>3838857.3619550001</v>
      </c>
      <c r="G20" s="5">
        <f>IF(INDEX(E_budgeted!$B$3:$G$13,MATCH($A20,E_budgeted!$A$3:$A$13,0),MATCH($A$3,E_budgeted!$B$2:$G$2,0))&gt;0,MIN('Limpopo-Olifants CMA'!G58,E_budgeted!G44),'Limpopo-Olifants CMA'!G58)</f>
        <v>3838857.3619550001</v>
      </c>
      <c r="H20" s="5">
        <f>IF(INDEX(E_budgeted!$B$3:$G$13,MATCH($A20,E_budgeted!$A$3:$A$13,0),MATCH($A$3,E_budgeted!$B$2:$G$2,0))&gt;0,MIN('Limpopo-Olifants CMA'!H58,E_budgeted!H44),'Limpopo-Olifants CMA'!H58)</f>
        <v>3838857.3619550001</v>
      </c>
      <c r="I20" s="5">
        <f>IF(INDEX(E_budgeted!$B$3:$G$13,MATCH($A20,E_budgeted!$A$3:$A$13,0),MATCH($A$3,E_budgeted!$B$2:$G$2,0))&gt;0,MIN('Limpopo-Olifants CMA'!I58,E_budgeted!I44),'Limpopo-Olifants CMA'!I58)</f>
        <v>3838857.3619550001</v>
      </c>
      <c r="J20" s="5">
        <f>IF(INDEX(E_budgeted!$B$3:$G$13,MATCH($A20,E_budgeted!$A$3:$A$13,0),MATCH($A$3,E_budgeted!$B$2:$G$2,0))&gt;0,MIN('Limpopo-Olifants CMA'!J58,E_budgeted!J44),'Limpopo-Olifants CMA'!J58)</f>
        <v>3838857.3619550001</v>
      </c>
      <c r="K20" s="5">
        <f>IF(INDEX(E_budgeted!$B$3:$G$13,MATCH($A20,E_budgeted!$A$3:$A$13,0),MATCH($A$3,E_budgeted!$B$2:$G$2,0))&gt;0,MIN('Limpopo-Olifants CMA'!K58,E_budgeted!K44),'Limpopo-Olifants CMA'!K58)</f>
        <v>3838857.3619550001</v>
      </c>
      <c r="L20" s="5">
        <f t="shared" ref="L20:L30" si="4">AVERAGE(B20:K20)</f>
        <v>3838857.361955001</v>
      </c>
    </row>
    <row r="21" spans="1:12" x14ac:dyDescent="0.25">
      <c r="A21" s="4" t="s">
        <v>36</v>
      </c>
      <c r="B21" s="5">
        <f>IF(INDEX(E_budgeted!$B$3:$G$13,MATCH($A21,E_budgeted!$A$3:$A$13,0),MATCH($A$3,E_budgeted!$B$2:$G$2,0))&gt;0,MIN('Limpopo-Olifants CMA'!B59,E_budgeted!B45),'Limpopo-Olifants CMA'!B59)</f>
        <v>1082129.4180000001</v>
      </c>
      <c r="C21" s="5">
        <f>IF(INDEX(E_budgeted!$B$3:$G$13,MATCH($A21,E_budgeted!$A$3:$A$13,0),MATCH($A$3,E_budgeted!$B$2:$G$2,0))&gt;0,MIN('Limpopo-Olifants CMA'!C59,E_budgeted!C45),'Limpopo-Olifants CMA'!C59)</f>
        <v>1082129.4180000001</v>
      </c>
      <c r="D21" s="5">
        <f>IF(INDEX(E_budgeted!$B$3:$G$13,MATCH($A21,E_budgeted!$A$3:$A$13,0),MATCH($A$3,E_budgeted!$B$2:$G$2,0))&gt;0,MIN('Limpopo-Olifants CMA'!D59,E_budgeted!D45),'Limpopo-Olifants CMA'!D59)</f>
        <v>1082129.4180000001</v>
      </c>
      <c r="E21" s="5">
        <f>IF(INDEX(E_budgeted!$B$3:$G$13,MATCH($A21,E_budgeted!$A$3:$A$13,0),MATCH($A$3,E_budgeted!$B$2:$G$2,0))&gt;0,MIN('Limpopo-Olifants CMA'!E59,E_budgeted!E45),'Limpopo-Olifants CMA'!E59)</f>
        <v>1082129.4180000001</v>
      </c>
      <c r="F21" s="5">
        <f>IF(INDEX(E_budgeted!$B$3:$G$13,MATCH($A21,E_budgeted!$A$3:$A$13,0),MATCH($A$3,E_budgeted!$B$2:$G$2,0))&gt;0,MIN('Limpopo-Olifants CMA'!F59,E_budgeted!F45),'Limpopo-Olifants CMA'!F59)</f>
        <v>1082129.4180000001</v>
      </c>
      <c r="G21" s="5">
        <f>IF(INDEX(E_budgeted!$B$3:$G$13,MATCH($A21,E_budgeted!$A$3:$A$13,0),MATCH($A$3,E_budgeted!$B$2:$G$2,0))&gt;0,MIN('Limpopo-Olifants CMA'!G59,E_budgeted!G45),'Limpopo-Olifants CMA'!G59)</f>
        <v>1082129.4180000001</v>
      </c>
      <c r="H21" s="5">
        <f>IF(INDEX(E_budgeted!$B$3:$G$13,MATCH($A21,E_budgeted!$A$3:$A$13,0),MATCH($A$3,E_budgeted!$B$2:$G$2,0))&gt;0,MIN('Limpopo-Olifants CMA'!H59,E_budgeted!H45),'Limpopo-Olifants CMA'!H59)</f>
        <v>1082129.4180000001</v>
      </c>
      <c r="I21" s="5">
        <f>IF(INDEX(E_budgeted!$B$3:$G$13,MATCH($A21,E_budgeted!$A$3:$A$13,0),MATCH($A$3,E_budgeted!$B$2:$G$2,0))&gt;0,MIN('Limpopo-Olifants CMA'!I59,E_budgeted!I45),'Limpopo-Olifants CMA'!I59)</f>
        <v>1082129.4180000001</v>
      </c>
      <c r="J21" s="5">
        <f>IF(INDEX(E_budgeted!$B$3:$G$13,MATCH($A21,E_budgeted!$A$3:$A$13,0),MATCH($A$3,E_budgeted!$B$2:$G$2,0))&gt;0,MIN('Limpopo-Olifants CMA'!J59,E_budgeted!J45),'Limpopo-Olifants CMA'!J59)</f>
        <v>1082129.4180000001</v>
      </c>
      <c r="K21" s="5">
        <f>IF(INDEX(E_budgeted!$B$3:$G$13,MATCH($A21,E_budgeted!$A$3:$A$13,0),MATCH($A$3,E_budgeted!$B$2:$G$2,0))&gt;0,MIN('Limpopo-Olifants CMA'!K59,E_budgeted!K45),'Limpopo-Olifants CMA'!K59)</f>
        <v>1082129.4180000001</v>
      </c>
      <c r="L21" s="5">
        <f t="shared" si="4"/>
        <v>1082129.4179999998</v>
      </c>
    </row>
    <row r="22" spans="1:12" x14ac:dyDescent="0.25">
      <c r="A22" s="4" t="s">
        <v>11</v>
      </c>
      <c r="B22" s="5">
        <f>IF(INDEX(E_budgeted!$B$3:$G$13,MATCH($A22,E_budgeted!$A$3:$A$13,0),MATCH($A$3,E_budgeted!$B$2:$G$2,0))&gt;0,MIN('Limpopo-Olifants CMA'!B60,E_budgeted!B46),'Limpopo-Olifants CMA'!B60)</f>
        <v>0</v>
      </c>
      <c r="C22" s="5">
        <f>IF(INDEX(E_budgeted!$B$3:$G$13,MATCH($A22,E_budgeted!$A$3:$A$13,0),MATCH($A$3,E_budgeted!$B$2:$G$2,0))&gt;0,MIN('Limpopo-Olifants CMA'!C60,E_budgeted!C46),'Limpopo-Olifants CMA'!C60)</f>
        <v>0</v>
      </c>
      <c r="D22" s="5">
        <f>IF(INDEX(E_budgeted!$B$3:$G$13,MATCH($A22,E_budgeted!$A$3:$A$13,0),MATCH($A$3,E_budgeted!$B$2:$G$2,0))&gt;0,MIN('Limpopo-Olifants CMA'!D60,E_budgeted!D46),'Limpopo-Olifants CMA'!D60)</f>
        <v>0</v>
      </c>
      <c r="E22" s="5">
        <f>IF(INDEX(E_budgeted!$B$3:$G$13,MATCH($A22,E_budgeted!$A$3:$A$13,0),MATCH($A$3,E_budgeted!$B$2:$G$2,0))&gt;0,MIN('Limpopo-Olifants CMA'!E60,E_budgeted!E46),'Limpopo-Olifants CMA'!E60)</f>
        <v>0</v>
      </c>
      <c r="F22" s="5">
        <f>IF(INDEX(E_budgeted!$B$3:$G$13,MATCH($A22,E_budgeted!$A$3:$A$13,0),MATCH($A$3,E_budgeted!$B$2:$G$2,0))&gt;0,MIN('Limpopo-Olifants CMA'!F60,E_budgeted!F46),'Limpopo-Olifants CMA'!F60)</f>
        <v>0</v>
      </c>
      <c r="G22" s="5">
        <f>IF(INDEX(E_budgeted!$B$3:$G$13,MATCH($A22,E_budgeted!$A$3:$A$13,0),MATCH($A$3,E_budgeted!$B$2:$G$2,0))&gt;0,MIN('Limpopo-Olifants CMA'!G60,E_budgeted!G46),'Limpopo-Olifants CMA'!G60)</f>
        <v>0</v>
      </c>
      <c r="H22" s="5">
        <f>IF(INDEX(E_budgeted!$B$3:$G$13,MATCH($A22,E_budgeted!$A$3:$A$13,0),MATCH($A$3,E_budgeted!$B$2:$G$2,0))&gt;0,MIN('Limpopo-Olifants CMA'!H60,E_budgeted!H46),'Limpopo-Olifants CMA'!H60)</f>
        <v>0</v>
      </c>
      <c r="I22" s="5">
        <f>IF(INDEX(E_budgeted!$B$3:$G$13,MATCH($A22,E_budgeted!$A$3:$A$13,0),MATCH($A$3,E_budgeted!$B$2:$G$2,0))&gt;0,MIN('Limpopo-Olifants CMA'!I60,E_budgeted!I46),'Limpopo-Olifants CMA'!I60)</f>
        <v>0</v>
      </c>
      <c r="J22" s="5">
        <f>IF(INDEX(E_budgeted!$B$3:$G$13,MATCH($A22,E_budgeted!$A$3:$A$13,0),MATCH($A$3,E_budgeted!$B$2:$G$2,0))&gt;0,MIN('Limpopo-Olifants CMA'!J60,E_budgeted!J46),'Limpopo-Olifants CMA'!J60)</f>
        <v>0</v>
      </c>
      <c r="K22" s="5">
        <f>IF(INDEX(E_budgeted!$B$3:$G$13,MATCH($A22,E_budgeted!$A$3:$A$13,0),MATCH($A$3,E_budgeted!$B$2:$G$2,0))&gt;0,MIN('Limpopo-Olifants CMA'!K60,E_budgeted!K46),'Limpopo-Olifants CMA'!K60)</f>
        <v>0</v>
      </c>
      <c r="L22" s="5">
        <f t="shared" si="4"/>
        <v>0</v>
      </c>
    </row>
    <row r="23" spans="1:12" x14ac:dyDescent="0.25">
      <c r="A23" s="4" t="s">
        <v>124</v>
      </c>
      <c r="B23" s="5">
        <f>IF(INDEX(E_budgeted!$B$3:$G$13,MATCH($A23,E_budgeted!$A$3:$A$13,0),MATCH($A$3,E_budgeted!$B$2:$G$2,0))&gt;0,MIN('Limpopo-Olifants CMA'!B61,E_budgeted!B47),'Limpopo-Olifants CMA'!B61)</f>
        <v>399999.99999999994</v>
      </c>
      <c r="C23" s="5">
        <f>IF(INDEX(E_budgeted!$B$3:$G$13,MATCH($A23,E_budgeted!$A$3:$A$13,0),MATCH($A$3,E_budgeted!$B$2:$G$2,0))&gt;0,MIN('Limpopo-Olifants CMA'!C61,E_budgeted!C47),'Limpopo-Olifants CMA'!C61)</f>
        <v>399999.99999999994</v>
      </c>
      <c r="D23" s="5">
        <f>IF(INDEX(E_budgeted!$B$3:$G$13,MATCH($A23,E_budgeted!$A$3:$A$13,0),MATCH($A$3,E_budgeted!$B$2:$G$2,0))&gt;0,MIN('Limpopo-Olifants CMA'!D61,E_budgeted!D47),'Limpopo-Olifants CMA'!D61)</f>
        <v>399999.99999999994</v>
      </c>
      <c r="E23" s="5">
        <f>IF(INDEX(E_budgeted!$B$3:$G$13,MATCH($A23,E_budgeted!$A$3:$A$13,0),MATCH($A$3,E_budgeted!$B$2:$G$2,0))&gt;0,MIN('Limpopo-Olifants CMA'!E61,E_budgeted!E47),'Limpopo-Olifants CMA'!E61)</f>
        <v>399999.99999999994</v>
      </c>
      <c r="F23" s="5">
        <f>IF(INDEX(E_budgeted!$B$3:$G$13,MATCH($A23,E_budgeted!$A$3:$A$13,0),MATCH($A$3,E_budgeted!$B$2:$G$2,0))&gt;0,MIN('Limpopo-Olifants CMA'!F61,E_budgeted!F47),'Limpopo-Olifants CMA'!F61)</f>
        <v>399999.99999999994</v>
      </c>
      <c r="G23" s="5">
        <f>IF(INDEX(E_budgeted!$B$3:$G$13,MATCH($A23,E_budgeted!$A$3:$A$13,0),MATCH($A$3,E_budgeted!$B$2:$G$2,0))&gt;0,MIN('Limpopo-Olifants CMA'!G61,E_budgeted!G47),'Limpopo-Olifants CMA'!G61)</f>
        <v>399999.99999999994</v>
      </c>
      <c r="H23" s="5">
        <f>IF(INDEX(E_budgeted!$B$3:$G$13,MATCH($A23,E_budgeted!$A$3:$A$13,0),MATCH($A$3,E_budgeted!$B$2:$G$2,0))&gt;0,MIN('Limpopo-Olifants CMA'!H61,E_budgeted!H47),'Limpopo-Olifants CMA'!H61)</f>
        <v>399999.99999999994</v>
      </c>
      <c r="I23" s="5">
        <f>IF(INDEX(E_budgeted!$B$3:$G$13,MATCH($A23,E_budgeted!$A$3:$A$13,0),MATCH($A$3,E_budgeted!$B$2:$G$2,0))&gt;0,MIN('Limpopo-Olifants CMA'!I61,E_budgeted!I47),'Limpopo-Olifants CMA'!I61)</f>
        <v>399999.99999999994</v>
      </c>
      <c r="J23" s="5">
        <f>IF(INDEX(E_budgeted!$B$3:$G$13,MATCH($A23,E_budgeted!$A$3:$A$13,0),MATCH($A$3,E_budgeted!$B$2:$G$2,0))&gt;0,MIN('Limpopo-Olifants CMA'!J61,E_budgeted!J47),'Limpopo-Olifants CMA'!J61)</f>
        <v>399999.99999999994</v>
      </c>
      <c r="K23" s="5">
        <f>IF(INDEX(E_budgeted!$B$3:$G$13,MATCH($A23,E_budgeted!$A$3:$A$13,0),MATCH($A$3,E_budgeted!$B$2:$G$2,0))&gt;0,MIN('Limpopo-Olifants CMA'!K61,E_budgeted!K47),'Limpopo-Olifants CMA'!K61)</f>
        <v>399999.99999999994</v>
      </c>
      <c r="L23" s="5">
        <f t="shared" si="4"/>
        <v>399999.99999999994</v>
      </c>
    </row>
    <row r="24" spans="1:12" x14ac:dyDescent="0.25">
      <c r="A24" s="4" t="s">
        <v>12</v>
      </c>
      <c r="B24" s="5">
        <f>IF(INDEX(E_budgeted!$B$3:$G$13,MATCH($A24,E_budgeted!$A$3:$A$13,0),MATCH($A$3,E_budgeted!$B$2:$G$2,0))&gt;0,MIN('Limpopo-Olifants CMA'!B62,E_budgeted!B48),'Limpopo-Olifants CMA'!B62)</f>
        <v>2300724.0546666663</v>
      </c>
      <c r="C24" s="5">
        <f>IF(INDEX(E_budgeted!$B$3:$G$13,MATCH($A24,E_budgeted!$A$3:$A$13,0),MATCH($A$3,E_budgeted!$B$2:$G$2,0))&gt;0,MIN('Limpopo-Olifants CMA'!C62,E_budgeted!C48),'Limpopo-Olifants CMA'!C62)</f>
        <v>2300724.0546666663</v>
      </c>
      <c r="D24" s="5">
        <f>IF(INDEX(E_budgeted!$B$3:$G$13,MATCH($A24,E_budgeted!$A$3:$A$13,0),MATCH($A$3,E_budgeted!$B$2:$G$2,0))&gt;0,MIN('Limpopo-Olifants CMA'!D62,E_budgeted!D48),'Limpopo-Olifants CMA'!D62)</f>
        <v>2300724.0546666663</v>
      </c>
      <c r="E24" s="5">
        <f>IF(INDEX(E_budgeted!$B$3:$G$13,MATCH($A24,E_budgeted!$A$3:$A$13,0),MATCH($A$3,E_budgeted!$B$2:$G$2,0))&gt;0,MIN('Limpopo-Olifants CMA'!E62,E_budgeted!E48),'Limpopo-Olifants CMA'!E62)</f>
        <v>2300724.0546666663</v>
      </c>
      <c r="F24" s="5">
        <f>IF(INDEX(E_budgeted!$B$3:$G$13,MATCH($A24,E_budgeted!$A$3:$A$13,0),MATCH($A$3,E_budgeted!$B$2:$G$2,0))&gt;0,MIN('Limpopo-Olifants CMA'!F62,E_budgeted!F48),'Limpopo-Olifants CMA'!F62)</f>
        <v>2300724.0546666663</v>
      </c>
      <c r="G24" s="5">
        <f>IF(INDEX(E_budgeted!$B$3:$G$13,MATCH($A24,E_budgeted!$A$3:$A$13,0),MATCH($A$3,E_budgeted!$B$2:$G$2,0))&gt;0,MIN('Limpopo-Olifants CMA'!G62,E_budgeted!G48),'Limpopo-Olifants CMA'!G62)</f>
        <v>2300724.0546666663</v>
      </c>
      <c r="H24" s="5">
        <f>IF(INDEX(E_budgeted!$B$3:$G$13,MATCH($A24,E_budgeted!$A$3:$A$13,0),MATCH($A$3,E_budgeted!$B$2:$G$2,0))&gt;0,MIN('Limpopo-Olifants CMA'!H62,E_budgeted!H48),'Limpopo-Olifants CMA'!H62)</f>
        <v>2300724.0546666663</v>
      </c>
      <c r="I24" s="5">
        <f>IF(INDEX(E_budgeted!$B$3:$G$13,MATCH($A24,E_budgeted!$A$3:$A$13,0),MATCH($A$3,E_budgeted!$B$2:$G$2,0))&gt;0,MIN('Limpopo-Olifants CMA'!I62,E_budgeted!I48),'Limpopo-Olifants CMA'!I62)</f>
        <v>2300724.0546666663</v>
      </c>
      <c r="J24" s="5">
        <f>IF(INDEX(E_budgeted!$B$3:$G$13,MATCH($A24,E_budgeted!$A$3:$A$13,0),MATCH($A$3,E_budgeted!$B$2:$G$2,0))&gt;0,MIN('Limpopo-Olifants CMA'!J62,E_budgeted!J48),'Limpopo-Olifants CMA'!J62)</f>
        <v>2300724.0546666663</v>
      </c>
      <c r="K24" s="5">
        <f>IF(INDEX(E_budgeted!$B$3:$G$13,MATCH($A24,E_budgeted!$A$3:$A$13,0),MATCH($A$3,E_budgeted!$B$2:$G$2,0))&gt;0,MIN('Limpopo-Olifants CMA'!K62,E_budgeted!K48),'Limpopo-Olifants CMA'!K62)</f>
        <v>2300724.0546666663</v>
      </c>
      <c r="L24" s="5">
        <f t="shared" si="4"/>
        <v>2300724.0546666668</v>
      </c>
    </row>
    <row r="25" spans="1:12" x14ac:dyDescent="0.25">
      <c r="A25" s="4" t="s">
        <v>13</v>
      </c>
      <c r="B25" s="5">
        <f>IF(INDEX(E_budgeted!$B$3:$G$13,MATCH($A25,E_budgeted!$A$3:$A$13,0),MATCH($A$3,E_budgeted!$B$2:$G$2,0))&gt;0,MIN('Limpopo-Olifants CMA'!B63,E_budgeted!B49),'Limpopo-Olifants CMA'!B63)</f>
        <v>0</v>
      </c>
      <c r="C25" s="5">
        <f>IF(INDEX(E_budgeted!$B$3:$G$13,MATCH($A25,E_budgeted!$A$3:$A$13,0),MATCH($A$3,E_budgeted!$B$2:$G$2,0))&gt;0,MIN('Limpopo-Olifants CMA'!C63,E_budgeted!C49),'Limpopo-Olifants CMA'!C63)</f>
        <v>0</v>
      </c>
      <c r="D25" s="5">
        <f>IF(INDEX(E_budgeted!$B$3:$G$13,MATCH($A25,E_budgeted!$A$3:$A$13,0),MATCH($A$3,E_budgeted!$B$2:$G$2,0))&gt;0,MIN('Limpopo-Olifants CMA'!D63,E_budgeted!D49),'Limpopo-Olifants CMA'!D63)</f>
        <v>0</v>
      </c>
      <c r="E25" s="5">
        <f>IF(INDEX(E_budgeted!$B$3:$G$13,MATCH($A25,E_budgeted!$A$3:$A$13,0),MATCH($A$3,E_budgeted!$B$2:$G$2,0))&gt;0,MIN('Limpopo-Olifants CMA'!E63,E_budgeted!E49),'Limpopo-Olifants CMA'!E63)</f>
        <v>0</v>
      </c>
      <c r="F25" s="5">
        <f>IF(INDEX(E_budgeted!$B$3:$G$13,MATCH($A25,E_budgeted!$A$3:$A$13,0),MATCH($A$3,E_budgeted!$B$2:$G$2,0))&gt;0,MIN('Limpopo-Olifants CMA'!F63,E_budgeted!F49),'Limpopo-Olifants CMA'!F63)</f>
        <v>0</v>
      </c>
      <c r="G25" s="5">
        <f>IF(INDEX(E_budgeted!$B$3:$G$13,MATCH($A25,E_budgeted!$A$3:$A$13,0),MATCH($A$3,E_budgeted!$B$2:$G$2,0))&gt;0,MIN('Limpopo-Olifants CMA'!G63,E_budgeted!G49),'Limpopo-Olifants CMA'!G63)</f>
        <v>0</v>
      </c>
      <c r="H25" s="5">
        <f>IF(INDEX(E_budgeted!$B$3:$G$13,MATCH($A25,E_budgeted!$A$3:$A$13,0),MATCH($A$3,E_budgeted!$B$2:$G$2,0))&gt;0,MIN('Limpopo-Olifants CMA'!H63,E_budgeted!H49),'Limpopo-Olifants CMA'!H63)</f>
        <v>0</v>
      </c>
      <c r="I25" s="5">
        <f>IF(INDEX(E_budgeted!$B$3:$G$13,MATCH($A25,E_budgeted!$A$3:$A$13,0),MATCH($A$3,E_budgeted!$B$2:$G$2,0))&gt;0,MIN('Limpopo-Olifants CMA'!I63,E_budgeted!I49),'Limpopo-Olifants CMA'!I63)</f>
        <v>0</v>
      </c>
      <c r="J25" s="5">
        <f>IF(INDEX(E_budgeted!$B$3:$G$13,MATCH($A25,E_budgeted!$A$3:$A$13,0),MATCH($A$3,E_budgeted!$B$2:$G$2,0))&gt;0,MIN('Limpopo-Olifants CMA'!J63,E_budgeted!J49),'Limpopo-Olifants CMA'!J63)</f>
        <v>0</v>
      </c>
      <c r="K25" s="5">
        <f>IF(INDEX(E_budgeted!$B$3:$G$13,MATCH($A25,E_budgeted!$A$3:$A$13,0),MATCH($A$3,E_budgeted!$B$2:$G$2,0))&gt;0,MIN('Limpopo-Olifants CMA'!K63,E_budgeted!K49),'Limpopo-Olifants CMA'!K63)</f>
        <v>0</v>
      </c>
      <c r="L25" s="5">
        <f t="shared" si="4"/>
        <v>0</v>
      </c>
    </row>
    <row r="26" spans="1:12" x14ac:dyDescent="0.25">
      <c r="A26" s="4" t="s">
        <v>14</v>
      </c>
      <c r="B26" s="5">
        <f>IF(INDEX(E_budgeted!$B$3:$G$13,MATCH($A26,E_budgeted!$A$3:$A$13,0),MATCH($A$3,E_budgeted!$B$2:$G$2,0))&gt;0,MIN('Limpopo-Olifants CMA'!B64,E_budgeted!B50),'Limpopo-Olifants CMA'!B64)</f>
        <v>0</v>
      </c>
      <c r="C26" s="5">
        <f>IF(INDEX(E_budgeted!$B$3:$G$13,MATCH($A26,E_budgeted!$A$3:$A$13,0),MATCH($A$3,E_budgeted!$B$2:$G$2,0))&gt;0,MIN('Limpopo-Olifants CMA'!C64,E_budgeted!C50),'Limpopo-Olifants CMA'!C64)</f>
        <v>0</v>
      </c>
      <c r="D26" s="5">
        <f>IF(INDEX(E_budgeted!$B$3:$G$13,MATCH($A26,E_budgeted!$A$3:$A$13,0),MATCH($A$3,E_budgeted!$B$2:$G$2,0))&gt;0,MIN('Limpopo-Olifants CMA'!D64,E_budgeted!D50),'Limpopo-Olifants CMA'!D64)</f>
        <v>0</v>
      </c>
      <c r="E26" s="5">
        <f>IF(INDEX(E_budgeted!$B$3:$G$13,MATCH($A26,E_budgeted!$A$3:$A$13,0),MATCH($A$3,E_budgeted!$B$2:$G$2,0))&gt;0,MIN('Limpopo-Olifants CMA'!E64,E_budgeted!E50),'Limpopo-Olifants CMA'!E64)</f>
        <v>0</v>
      </c>
      <c r="F26" s="5">
        <f>IF(INDEX(E_budgeted!$B$3:$G$13,MATCH($A26,E_budgeted!$A$3:$A$13,0),MATCH($A$3,E_budgeted!$B$2:$G$2,0))&gt;0,MIN('Limpopo-Olifants CMA'!F64,E_budgeted!F50),'Limpopo-Olifants CMA'!F64)</f>
        <v>0</v>
      </c>
      <c r="G26" s="5">
        <f>IF(INDEX(E_budgeted!$B$3:$G$13,MATCH($A26,E_budgeted!$A$3:$A$13,0),MATCH($A$3,E_budgeted!$B$2:$G$2,0))&gt;0,MIN('Limpopo-Olifants CMA'!G64,E_budgeted!G50),'Limpopo-Olifants CMA'!G64)</f>
        <v>0</v>
      </c>
      <c r="H26" s="5">
        <f>IF(INDEX(E_budgeted!$B$3:$G$13,MATCH($A26,E_budgeted!$A$3:$A$13,0),MATCH($A$3,E_budgeted!$B$2:$G$2,0))&gt;0,MIN('Limpopo-Olifants CMA'!H64,E_budgeted!H50),'Limpopo-Olifants CMA'!H64)</f>
        <v>0</v>
      </c>
      <c r="I26" s="5">
        <f>IF(INDEX(E_budgeted!$B$3:$G$13,MATCH($A26,E_budgeted!$A$3:$A$13,0),MATCH($A$3,E_budgeted!$B$2:$G$2,0))&gt;0,MIN('Limpopo-Olifants CMA'!I64,E_budgeted!I50),'Limpopo-Olifants CMA'!I64)</f>
        <v>0</v>
      </c>
      <c r="J26" s="5">
        <f>IF(INDEX(E_budgeted!$B$3:$G$13,MATCH($A26,E_budgeted!$A$3:$A$13,0),MATCH($A$3,E_budgeted!$B$2:$G$2,0))&gt;0,MIN('Limpopo-Olifants CMA'!J64,E_budgeted!J50),'Limpopo-Olifants CMA'!J64)</f>
        <v>0</v>
      </c>
      <c r="K26" s="5">
        <f>IF(INDEX(E_budgeted!$B$3:$G$13,MATCH($A26,E_budgeted!$A$3:$A$13,0),MATCH($A$3,E_budgeted!$B$2:$G$2,0))&gt;0,MIN('Limpopo-Olifants CMA'!K64,E_budgeted!K50),'Limpopo-Olifants CMA'!K64)</f>
        <v>0</v>
      </c>
      <c r="L26" s="5">
        <f t="shared" si="4"/>
        <v>0</v>
      </c>
    </row>
    <row r="27" spans="1:12" x14ac:dyDescent="0.25">
      <c r="A27" s="4" t="s">
        <v>125</v>
      </c>
      <c r="B27" s="5">
        <f>IF(INDEX(E_budgeted!$B$3:$G$13,MATCH($A27,E_budgeted!$A$3:$A$13,0),MATCH($A$3,E_budgeted!$B$2:$G$2,0))&gt;0,MIN('Limpopo-Olifants CMA'!B65,E_budgeted!B51),'Limpopo-Olifants CMA'!B65)</f>
        <v>975660.43801533477</v>
      </c>
      <c r="C27" s="5">
        <f>IF(INDEX(E_budgeted!$B$3:$G$13,MATCH($A27,E_budgeted!$A$3:$A$13,0),MATCH($A$3,E_budgeted!$B$2:$G$2,0))&gt;0,MIN('Limpopo-Olifants CMA'!C65,E_budgeted!C51),'Limpopo-Olifants CMA'!C65)</f>
        <v>975660.43801533477</v>
      </c>
      <c r="D27" s="5">
        <f>IF(INDEX(E_budgeted!$B$3:$G$13,MATCH($A27,E_budgeted!$A$3:$A$13,0),MATCH($A$3,E_budgeted!$B$2:$G$2,0))&gt;0,MIN('Limpopo-Olifants CMA'!D65,E_budgeted!D51),'Limpopo-Olifants CMA'!D65)</f>
        <v>975660.43801533477</v>
      </c>
      <c r="E27" s="5">
        <f>IF(INDEX(E_budgeted!$B$3:$G$13,MATCH($A27,E_budgeted!$A$3:$A$13,0),MATCH($A$3,E_budgeted!$B$2:$G$2,0))&gt;0,MIN('Limpopo-Olifants CMA'!E65,E_budgeted!E51),'Limpopo-Olifants CMA'!E65)</f>
        <v>975660.43801533477</v>
      </c>
      <c r="F27" s="5">
        <f>IF(INDEX(E_budgeted!$B$3:$G$13,MATCH($A27,E_budgeted!$A$3:$A$13,0),MATCH($A$3,E_budgeted!$B$2:$G$2,0))&gt;0,MIN('Limpopo-Olifants CMA'!F65,E_budgeted!F51),'Limpopo-Olifants CMA'!F65)</f>
        <v>975660.43801533477</v>
      </c>
      <c r="G27" s="5">
        <f>IF(INDEX(E_budgeted!$B$3:$G$13,MATCH($A27,E_budgeted!$A$3:$A$13,0),MATCH($A$3,E_budgeted!$B$2:$G$2,0))&gt;0,MIN('Limpopo-Olifants CMA'!G65,E_budgeted!G51),'Limpopo-Olifants CMA'!G65)</f>
        <v>975660.43801533477</v>
      </c>
      <c r="H27" s="5">
        <f>IF(INDEX(E_budgeted!$B$3:$G$13,MATCH($A27,E_budgeted!$A$3:$A$13,0),MATCH($A$3,E_budgeted!$B$2:$G$2,0))&gt;0,MIN('Limpopo-Olifants CMA'!H65,E_budgeted!H51),'Limpopo-Olifants CMA'!H65)</f>
        <v>975660.43801533477</v>
      </c>
      <c r="I27" s="5">
        <f>IF(INDEX(E_budgeted!$B$3:$G$13,MATCH($A27,E_budgeted!$A$3:$A$13,0),MATCH($A$3,E_budgeted!$B$2:$G$2,0))&gt;0,MIN('Limpopo-Olifants CMA'!I65,E_budgeted!I51),'Limpopo-Olifants CMA'!I65)</f>
        <v>975660.43801533477</v>
      </c>
      <c r="J27" s="5">
        <f>IF(INDEX(E_budgeted!$B$3:$G$13,MATCH($A27,E_budgeted!$A$3:$A$13,0),MATCH($A$3,E_budgeted!$B$2:$G$2,0))&gt;0,MIN('Limpopo-Olifants CMA'!J65,E_budgeted!J51),'Limpopo-Olifants CMA'!J65)</f>
        <v>975660.43801533477</v>
      </c>
      <c r="K27" s="5">
        <f>IF(INDEX(E_budgeted!$B$3:$G$13,MATCH($A27,E_budgeted!$A$3:$A$13,0),MATCH($A$3,E_budgeted!$B$2:$G$2,0))&gt;0,MIN('Limpopo-Olifants CMA'!K65,E_budgeted!K51),'Limpopo-Olifants CMA'!K65)</f>
        <v>975660.43801533477</v>
      </c>
      <c r="L27" s="5">
        <f t="shared" si="4"/>
        <v>975660.43801533454</v>
      </c>
    </row>
    <row r="28" spans="1:12" x14ac:dyDescent="0.25">
      <c r="A28" s="4" t="s">
        <v>37</v>
      </c>
      <c r="B28" s="5">
        <f>IF(INDEX(E_budgeted!$B$3:$G$13,MATCH($A28,E_budgeted!$A$3:$A$13,0),MATCH($A$3,E_budgeted!$B$2:$G$2,0))&gt;0,MIN('Limpopo-Olifants CMA'!B66,E_budgeted!B52),'Limpopo-Olifants CMA'!B66)</f>
        <v>21389257.835504998</v>
      </c>
      <c r="C28" s="5">
        <f>IF(INDEX(E_budgeted!$B$3:$G$13,MATCH($A28,E_budgeted!$A$3:$A$13,0),MATCH($A$3,E_budgeted!$B$2:$G$2,0))&gt;0,MIN('Limpopo-Olifants CMA'!C66,E_budgeted!C52),'Limpopo-Olifants CMA'!C66)</f>
        <v>21389257.835504998</v>
      </c>
      <c r="D28" s="5">
        <f>IF(INDEX(E_budgeted!$B$3:$G$13,MATCH($A28,E_budgeted!$A$3:$A$13,0),MATCH($A$3,E_budgeted!$B$2:$G$2,0))&gt;0,MIN('Limpopo-Olifants CMA'!D66,E_budgeted!D52),'Limpopo-Olifants CMA'!D66)</f>
        <v>21389257.835504998</v>
      </c>
      <c r="E28" s="5">
        <f>IF(INDEX(E_budgeted!$B$3:$G$13,MATCH($A28,E_budgeted!$A$3:$A$13,0),MATCH($A$3,E_budgeted!$B$2:$G$2,0))&gt;0,MIN('Limpopo-Olifants CMA'!E66,E_budgeted!E52),'Limpopo-Olifants CMA'!E66)</f>
        <v>21389257.835504998</v>
      </c>
      <c r="F28" s="5">
        <f>IF(INDEX(E_budgeted!$B$3:$G$13,MATCH($A28,E_budgeted!$A$3:$A$13,0),MATCH($A$3,E_budgeted!$B$2:$G$2,0))&gt;0,MIN('Limpopo-Olifants CMA'!F66,E_budgeted!F52),'Limpopo-Olifants CMA'!F66)</f>
        <v>21389257.835504998</v>
      </c>
      <c r="G28" s="5">
        <f>IF(INDEX(E_budgeted!$B$3:$G$13,MATCH($A28,E_budgeted!$A$3:$A$13,0),MATCH($A$3,E_budgeted!$B$2:$G$2,0))&gt;0,MIN('Limpopo-Olifants CMA'!G66,E_budgeted!G52),'Limpopo-Olifants CMA'!G66)</f>
        <v>21389257.835504998</v>
      </c>
      <c r="H28" s="5">
        <f>IF(INDEX(E_budgeted!$B$3:$G$13,MATCH($A28,E_budgeted!$A$3:$A$13,0),MATCH($A$3,E_budgeted!$B$2:$G$2,0))&gt;0,MIN('Limpopo-Olifants CMA'!H66,E_budgeted!H52),'Limpopo-Olifants CMA'!H66)</f>
        <v>21389257.835504998</v>
      </c>
      <c r="I28" s="5">
        <f>IF(INDEX(E_budgeted!$B$3:$G$13,MATCH($A28,E_budgeted!$A$3:$A$13,0),MATCH($A$3,E_budgeted!$B$2:$G$2,0))&gt;0,MIN('Limpopo-Olifants CMA'!I66,E_budgeted!I52),'Limpopo-Olifants CMA'!I66)</f>
        <v>21389257.835504998</v>
      </c>
      <c r="J28" s="5">
        <f>IF(INDEX(E_budgeted!$B$3:$G$13,MATCH($A28,E_budgeted!$A$3:$A$13,0),MATCH($A$3,E_budgeted!$B$2:$G$2,0))&gt;0,MIN('Limpopo-Olifants CMA'!J66,E_budgeted!J52),'Limpopo-Olifants CMA'!J66)</f>
        <v>21389257.835504998</v>
      </c>
      <c r="K28" s="5">
        <f>IF(INDEX(E_budgeted!$B$3:$G$13,MATCH($A28,E_budgeted!$A$3:$A$13,0),MATCH($A$3,E_budgeted!$B$2:$G$2,0))&gt;0,MIN('Limpopo-Olifants CMA'!K66,E_budgeted!K52),'Limpopo-Olifants CMA'!K66)</f>
        <v>21389257.835504998</v>
      </c>
      <c r="L28" s="5">
        <f t="shared" si="4"/>
        <v>21389257.835505001</v>
      </c>
    </row>
    <row r="29" spans="1:12" x14ac:dyDescent="0.25">
      <c r="A29" s="4" t="s">
        <v>38</v>
      </c>
      <c r="B29" s="5">
        <f>IF(INDEX(E_budgeted!$B$3:$G$13,MATCH($A29,E_budgeted!$A$3:$A$13,0),MATCH($A$3,E_budgeted!$B$2:$G$2,0))&gt;0,MIN('Limpopo-Olifants CMA'!B67,E_budgeted!B53),'Limpopo-Olifants CMA'!B67)</f>
        <v>337075.32299999997</v>
      </c>
      <c r="C29" s="5">
        <f>IF(INDEX(E_budgeted!$B$3:$G$13,MATCH($A29,E_budgeted!$A$3:$A$13,0),MATCH($A$3,E_budgeted!$B$2:$G$2,0))&gt;0,MIN('Limpopo-Olifants CMA'!C67,E_budgeted!C53),'Limpopo-Olifants CMA'!C67)</f>
        <v>337075.32299999997</v>
      </c>
      <c r="D29" s="5">
        <f>IF(INDEX(E_budgeted!$B$3:$G$13,MATCH($A29,E_budgeted!$A$3:$A$13,0),MATCH($A$3,E_budgeted!$B$2:$G$2,0))&gt;0,MIN('Limpopo-Olifants CMA'!D67,E_budgeted!D53),'Limpopo-Olifants CMA'!D67)</f>
        <v>337075.32299999997</v>
      </c>
      <c r="E29" s="5">
        <f>IF(INDEX(E_budgeted!$B$3:$G$13,MATCH($A29,E_budgeted!$A$3:$A$13,0),MATCH($A$3,E_budgeted!$B$2:$G$2,0))&gt;0,MIN('Limpopo-Olifants CMA'!E67,E_budgeted!E53),'Limpopo-Olifants CMA'!E67)</f>
        <v>337075.32299999997</v>
      </c>
      <c r="F29" s="5">
        <f>IF(INDEX(E_budgeted!$B$3:$G$13,MATCH($A29,E_budgeted!$A$3:$A$13,0),MATCH($A$3,E_budgeted!$B$2:$G$2,0))&gt;0,MIN('Limpopo-Olifants CMA'!F67,E_budgeted!F53),'Limpopo-Olifants CMA'!F67)</f>
        <v>337075.32299999997</v>
      </c>
      <c r="G29" s="5">
        <f>IF(INDEX(E_budgeted!$B$3:$G$13,MATCH($A29,E_budgeted!$A$3:$A$13,0),MATCH($A$3,E_budgeted!$B$2:$G$2,0))&gt;0,MIN('Limpopo-Olifants CMA'!G67,E_budgeted!G53),'Limpopo-Olifants CMA'!G67)</f>
        <v>337075.32299999997</v>
      </c>
      <c r="H29" s="5">
        <f>IF(INDEX(E_budgeted!$B$3:$G$13,MATCH($A29,E_budgeted!$A$3:$A$13,0),MATCH($A$3,E_budgeted!$B$2:$G$2,0))&gt;0,MIN('Limpopo-Olifants CMA'!H67,E_budgeted!H53),'Limpopo-Olifants CMA'!H67)</f>
        <v>337075.32299999997</v>
      </c>
      <c r="I29" s="5">
        <f>IF(INDEX(E_budgeted!$B$3:$G$13,MATCH($A29,E_budgeted!$A$3:$A$13,0),MATCH($A$3,E_budgeted!$B$2:$G$2,0))&gt;0,MIN('Limpopo-Olifants CMA'!I67,E_budgeted!I53),'Limpopo-Olifants CMA'!I67)</f>
        <v>337075.32299999997</v>
      </c>
      <c r="J29" s="5">
        <f>IF(INDEX(E_budgeted!$B$3:$G$13,MATCH($A29,E_budgeted!$A$3:$A$13,0),MATCH($A$3,E_budgeted!$B$2:$G$2,0))&gt;0,MIN('Limpopo-Olifants CMA'!J67,E_budgeted!J53),'Limpopo-Olifants CMA'!J67)</f>
        <v>337075.32299999997</v>
      </c>
      <c r="K29" s="5">
        <f>IF(INDEX(E_budgeted!$B$3:$G$13,MATCH($A29,E_budgeted!$A$3:$A$13,0),MATCH($A$3,E_budgeted!$B$2:$G$2,0))&gt;0,MIN('Limpopo-Olifants CMA'!K67,E_budgeted!K53),'Limpopo-Olifants CMA'!K67)</f>
        <v>337075.32299999997</v>
      </c>
      <c r="L29" s="5">
        <f t="shared" si="4"/>
        <v>337075.32299999992</v>
      </c>
    </row>
    <row r="30" spans="1:12" x14ac:dyDescent="0.25">
      <c r="A30" s="4" t="s">
        <v>15</v>
      </c>
      <c r="B30" s="13">
        <f>IF(INDEX(E_budgeted!$B$3:$G$13,MATCH($A30,E_budgeted!$A$3:$A$13,0),MATCH($A$3,E_budgeted!$B$2:$G$2,0))&gt;0,MIN('Limpopo-Olifants CMA'!B68,E_budgeted!B54),'Limpopo-Olifants CMA'!B68)</f>
        <v>16457221.990404926</v>
      </c>
      <c r="C30" s="13">
        <f>IF(INDEX(E_budgeted!$B$3:$G$13,MATCH($A30,E_budgeted!$A$3:$A$13,0),MATCH($A$3,E_budgeted!$B$2:$G$2,0))&gt;0,MIN('Limpopo-Olifants CMA'!C68,E_budgeted!C54),'Limpopo-Olifants CMA'!C68)</f>
        <v>16457221.990404926</v>
      </c>
      <c r="D30" s="13">
        <f>IF(INDEX(E_budgeted!$B$3:$G$13,MATCH($A30,E_budgeted!$A$3:$A$13,0),MATCH($A$3,E_budgeted!$B$2:$G$2,0))&gt;0,MIN('Limpopo-Olifants CMA'!D68,E_budgeted!D54),'Limpopo-Olifants CMA'!D68)</f>
        <v>16457221.990404926</v>
      </c>
      <c r="E30" s="13">
        <f>IF(INDEX(E_budgeted!$B$3:$G$13,MATCH($A30,E_budgeted!$A$3:$A$13,0),MATCH($A$3,E_budgeted!$B$2:$G$2,0))&gt;0,MIN('Limpopo-Olifants CMA'!E68,E_budgeted!E54),'Limpopo-Olifants CMA'!E68)</f>
        <v>16457221.990404926</v>
      </c>
      <c r="F30" s="13">
        <f>IF(INDEX(E_budgeted!$B$3:$G$13,MATCH($A30,E_budgeted!$A$3:$A$13,0),MATCH($A$3,E_budgeted!$B$2:$G$2,0))&gt;0,MIN('Limpopo-Olifants CMA'!F68,E_budgeted!F54),'Limpopo-Olifants CMA'!F68)</f>
        <v>16457221.990404926</v>
      </c>
      <c r="G30" s="13">
        <f>IF(INDEX(E_budgeted!$B$3:$G$13,MATCH($A30,E_budgeted!$A$3:$A$13,0),MATCH($A$3,E_budgeted!$B$2:$G$2,0))&gt;0,MIN('Limpopo-Olifants CMA'!G68,E_budgeted!G54),'Limpopo-Olifants CMA'!G68)</f>
        <v>16457221.990404926</v>
      </c>
      <c r="H30" s="13">
        <f>IF(INDEX(E_budgeted!$B$3:$G$13,MATCH($A30,E_budgeted!$A$3:$A$13,0),MATCH($A$3,E_budgeted!$B$2:$G$2,0))&gt;0,MIN('Limpopo-Olifants CMA'!H68,E_budgeted!H54),'Limpopo-Olifants CMA'!H68)</f>
        <v>16457221.990404926</v>
      </c>
      <c r="I30" s="13">
        <f>IF(INDEX(E_budgeted!$B$3:$G$13,MATCH($A30,E_budgeted!$A$3:$A$13,0),MATCH($A$3,E_budgeted!$B$2:$G$2,0))&gt;0,MIN('Limpopo-Olifants CMA'!I68,E_budgeted!I54),'Limpopo-Olifants CMA'!I68)</f>
        <v>16457221.990404926</v>
      </c>
      <c r="J30" s="13">
        <f>IF(INDEX(E_budgeted!$B$3:$G$13,MATCH($A30,E_budgeted!$A$3:$A$13,0),MATCH($A$3,E_budgeted!$B$2:$G$2,0))&gt;0,MIN('Limpopo-Olifants CMA'!J68,E_budgeted!J54),'Limpopo-Olifants CMA'!J68)</f>
        <v>16457221.990404926</v>
      </c>
      <c r="K30" s="13">
        <f>IF(INDEX(E_budgeted!$B$3:$G$13,MATCH($A30,E_budgeted!$A$3:$A$13,0),MATCH($A$3,E_budgeted!$B$2:$G$2,0))&gt;0,MIN('Limpopo-Olifants CMA'!K68,E_budgeted!K54),'Limpopo-Olifants CMA'!K68)</f>
        <v>16457221.990404926</v>
      </c>
      <c r="L30" s="5">
        <f t="shared" si="4"/>
        <v>16457221.99040493</v>
      </c>
    </row>
    <row r="31" spans="1:12" x14ac:dyDescent="0.25">
      <c r="B31" s="5">
        <f t="shared" ref="B31:K31" si="5">SUM(B20:B30)</f>
        <v>46780926.421546921</v>
      </c>
      <c r="C31" s="5">
        <f t="shared" si="5"/>
        <v>46780926.421546921</v>
      </c>
      <c r="D31" s="5">
        <f t="shared" si="5"/>
        <v>46780926.421546921</v>
      </c>
      <c r="E31" s="5">
        <f t="shared" si="5"/>
        <v>46780926.421546921</v>
      </c>
      <c r="F31" s="5">
        <f t="shared" si="5"/>
        <v>46780926.421546921</v>
      </c>
      <c r="G31" s="5">
        <f t="shared" si="5"/>
        <v>46780926.421546921</v>
      </c>
      <c r="H31" s="5">
        <f t="shared" si="5"/>
        <v>46780926.421546921</v>
      </c>
      <c r="I31" s="5">
        <f t="shared" si="5"/>
        <v>46780926.421546921</v>
      </c>
      <c r="J31" s="5">
        <f t="shared" si="5"/>
        <v>46780926.421546921</v>
      </c>
      <c r="K31" s="5">
        <f t="shared" si="5"/>
        <v>46780926.421546921</v>
      </c>
      <c r="L31" s="5"/>
    </row>
    <row r="32" spans="1:12" x14ac:dyDescent="0.25">
      <c r="B32" s="16">
        <f>B31/$B$17</f>
        <v>0.41849223765622134</v>
      </c>
      <c r="C32" s="5"/>
      <c r="D32" s="5"/>
      <c r="E32" s="5"/>
      <c r="F32" s="5"/>
      <c r="G32" s="5"/>
      <c r="H32" s="5"/>
      <c r="I32" s="5"/>
      <c r="J32" s="5"/>
      <c r="K32" s="5"/>
      <c r="L32" s="5"/>
    </row>
    <row r="34" spans="1:12" ht="30" x14ac:dyDescent="0.25">
      <c r="A34" s="15" t="s">
        <v>57</v>
      </c>
      <c r="B34" s="12" t="str">
        <f>'Summary dashboard'!C4</f>
        <v>2023</v>
      </c>
      <c r="C34" s="12">
        <f t="shared" ref="C34" si="6">B34+1</f>
        <v>2024</v>
      </c>
      <c r="D34" s="12">
        <f t="shared" ref="D34" si="7">C34+1</f>
        <v>2025</v>
      </c>
      <c r="E34" s="12">
        <f t="shared" ref="E34" si="8">D34+1</f>
        <v>2026</v>
      </c>
      <c r="F34" s="12">
        <f t="shared" ref="F34" si="9">E34+1</f>
        <v>2027</v>
      </c>
      <c r="G34" s="12">
        <f t="shared" ref="G34" si="10">F34+1</f>
        <v>2028</v>
      </c>
      <c r="H34" s="12">
        <f t="shared" ref="H34" si="11">G34+1</f>
        <v>2029</v>
      </c>
      <c r="I34" s="12">
        <f t="shared" ref="I34" si="12">H34+1</f>
        <v>2030</v>
      </c>
      <c r="J34" s="12">
        <f t="shared" ref="J34" si="13">I34+1</f>
        <v>2031</v>
      </c>
      <c r="K34" s="12">
        <f t="shared" ref="K34" si="14">J34+1</f>
        <v>2032</v>
      </c>
      <c r="L34" s="1" t="s">
        <v>28</v>
      </c>
    </row>
    <row r="35" spans="1:12" x14ac:dyDescent="0.25">
      <c r="A35" s="4" t="s">
        <v>35</v>
      </c>
      <c r="B35" s="5">
        <f>IF(INDEX(E_budgeted!$B$3:$G$13,MATCH($A35,E_budgeted!$A$3:$A$13,0),MATCH($A$3,E_budgeted!$B$2:$G$2,0))&gt;0,MIN('Limpopo-Olifants CMA'!B73,E_budgeted!B59),'Limpopo-Olifants CMA'!B73)</f>
        <v>2841751.5536550004</v>
      </c>
      <c r="C35" s="5">
        <f>IF(INDEX(E_budgeted!$B$3:$G$13,MATCH($A35,E_budgeted!$A$3:$A$13,0),MATCH($A$3,E_budgeted!$B$2:$G$2,0))&gt;0,MIN('Limpopo-Olifants CMA'!C73,E_budgeted!C59),'Limpopo-Olifants CMA'!C73)</f>
        <v>2841751.5536550004</v>
      </c>
      <c r="D35" s="5">
        <f>IF(INDEX(E_budgeted!$B$3:$G$13,MATCH($A35,E_budgeted!$A$3:$A$13,0),MATCH($A$3,E_budgeted!$B$2:$G$2,0))&gt;0,MIN('Limpopo-Olifants CMA'!D73,E_budgeted!D59),'Limpopo-Olifants CMA'!D73)</f>
        <v>2841751.5536550004</v>
      </c>
      <c r="E35" s="5">
        <f>IF(INDEX(E_budgeted!$B$3:$G$13,MATCH($A35,E_budgeted!$A$3:$A$13,0),MATCH($A$3,E_budgeted!$B$2:$G$2,0))&gt;0,MIN('Limpopo-Olifants CMA'!E73,E_budgeted!E59),'Limpopo-Olifants CMA'!E73)</f>
        <v>2841751.5536550004</v>
      </c>
      <c r="F35" s="5">
        <f>IF(INDEX(E_budgeted!$B$3:$G$13,MATCH($A35,E_budgeted!$A$3:$A$13,0),MATCH($A$3,E_budgeted!$B$2:$G$2,0))&gt;0,MIN('Limpopo-Olifants CMA'!F73,E_budgeted!F59),'Limpopo-Olifants CMA'!F73)</f>
        <v>2841751.5536550004</v>
      </c>
      <c r="G35" s="5">
        <f>IF(INDEX(E_budgeted!$B$3:$G$13,MATCH($A35,E_budgeted!$A$3:$A$13,0),MATCH($A$3,E_budgeted!$B$2:$G$2,0))&gt;0,MIN('Limpopo-Olifants CMA'!G73,E_budgeted!G59),'Limpopo-Olifants CMA'!G73)</f>
        <v>2841751.5536550004</v>
      </c>
      <c r="H35" s="5">
        <f>IF(INDEX(E_budgeted!$B$3:$G$13,MATCH($A35,E_budgeted!$A$3:$A$13,0),MATCH($A$3,E_budgeted!$B$2:$G$2,0))&gt;0,MIN('Limpopo-Olifants CMA'!H73,E_budgeted!H59),'Limpopo-Olifants CMA'!H73)</f>
        <v>2841751.5536550004</v>
      </c>
      <c r="I35" s="5">
        <f>IF(INDEX(E_budgeted!$B$3:$G$13,MATCH($A35,E_budgeted!$A$3:$A$13,0),MATCH($A$3,E_budgeted!$B$2:$G$2,0))&gt;0,MIN('Limpopo-Olifants CMA'!I73,E_budgeted!I59),'Limpopo-Olifants CMA'!I73)</f>
        <v>2841751.5536550004</v>
      </c>
      <c r="J35" s="5">
        <f>IF(INDEX(E_budgeted!$B$3:$G$13,MATCH($A35,E_budgeted!$A$3:$A$13,0),MATCH($A$3,E_budgeted!$B$2:$G$2,0))&gt;0,MIN('Limpopo-Olifants CMA'!J73,E_budgeted!J59),'Limpopo-Olifants CMA'!J73)</f>
        <v>2841751.5536550004</v>
      </c>
      <c r="K35" s="5">
        <f>IF(INDEX(E_budgeted!$B$3:$G$13,MATCH($A35,E_budgeted!$A$3:$A$13,0),MATCH($A$3,E_budgeted!$B$2:$G$2,0))&gt;0,MIN('Limpopo-Olifants CMA'!K73,E_budgeted!K59),'Limpopo-Olifants CMA'!K73)</f>
        <v>2841751.5536550004</v>
      </c>
      <c r="L35" s="5">
        <f>AVERAGE(B35:K35)</f>
        <v>2841751.5536549999</v>
      </c>
    </row>
    <row r="36" spans="1:12" x14ac:dyDescent="0.25">
      <c r="A36" s="4" t="s">
        <v>36</v>
      </c>
      <c r="B36" s="5">
        <f>IF(INDEX(E_budgeted!$B$3:$G$13,MATCH($A36,E_budgeted!$A$3:$A$13,0),MATCH($A$3,E_budgeted!$B$2:$G$2,0))&gt;0,MIN('Limpopo-Olifants CMA'!B74,E_budgeted!B60),'Limpopo-Olifants CMA'!B74)</f>
        <v>360709.80599999998</v>
      </c>
      <c r="C36" s="5">
        <f>IF(INDEX(E_budgeted!$B$3:$G$13,MATCH($A36,E_budgeted!$A$3:$A$13,0),MATCH($A$3,E_budgeted!$B$2:$G$2,0))&gt;0,MIN('Limpopo-Olifants CMA'!C74,E_budgeted!C60),'Limpopo-Olifants CMA'!C74)</f>
        <v>360709.80599999998</v>
      </c>
      <c r="D36" s="5">
        <f>IF(INDEX(E_budgeted!$B$3:$G$13,MATCH($A36,E_budgeted!$A$3:$A$13,0),MATCH($A$3,E_budgeted!$B$2:$G$2,0))&gt;0,MIN('Limpopo-Olifants CMA'!D74,E_budgeted!D60),'Limpopo-Olifants CMA'!D74)</f>
        <v>360709.80599999998</v>
      </c>
      <c r="E36" s="5">
        <f>IF(INDEX(E_budgeted!$B$3:$G$13,MATCH($A36,E_budgeted!$A$3:$A$13,0),MATCH($A$3,E_budgeted!$B$2:$G$2,0))&gt;0,MIN('Limpopo-Olifants CMA'!E74,E_budgeted!E60),'Limpopo-Olifants CMA'!E74)</f>
        <v>360709.80599999998</v>
      </c>
      <c r="F36" s="5">
        <f>IF(INDEX(E_budgeted!$B$3:$G$13,MATCH($A36,E_budgeted!$A$3:$A$13,0),MATCH($A$3,E_budgeted!$B$2:$G$2,0))&gt;0,MIN('Limpopo-Olifants CMA'!F74,E_budgeted!F60),'Limpopo-Olifants CMA'!F74)</f>
        <v>360709.80599999998</v>
      </c>
      <c r="G36" s="5">
        <f>IF(INDEX(E_budgeted!$B$3:$G$13,MATCH($A36,E_budgeted!$A$3:$A$13,0),MATCH($A$3,E_budgeted!$B$2:$G$2,0))&gt;0,MIN('Limpopo-Olifants CMA'!G74,E_budgeted!G60),'Limpopo-Olifants CMA'!G74)</f>
        <v>360709.80599999998</v>
      </c>
      <c r="H36" s="5">
        <f>IF(INDEX(E_budgeted!$B$3:$G$13,MATCH($A36,E_budgeted!$A$3:$A$13,0),MATCH($A$3,E_budgeted!$B$2:$G$2,0))&gt;0,MIN('Limpopo-Olifants CMA'!H74,E_budgeted!H60),'Limpopo-Olifants CMA'!H74)</f>
        <v>360709.80599999998</v>
      </c>
      <c r="I36" s="5">
        <f>IF(INDEX(E_budgeted!$B$3:$G$13,MATCH($A36,E_budgeted!$A$3:$A$13,0),MATCH($A$3,E_budgeted!$B$2:$G$2,0))&gt;0,MIN('Limpopo-Olifants CMA'!I74,E_budgeted!I60),'Limpopo-Olifants CMA'!I74)</f>
        <v>360709.80599999998</v>
      </c>
      <c r="J36" s="5">
        <f>IF(INDEX(E_budgeted!$B$3:$G$13,MATCH($A36,E_budgeted!$A$3:$A$13,0),MATCH($A$3,E_budgeted!$B$2:$G$2,0))&gt;0,MIN('Limpopo-Olifants CMA'!J74,E_budgeted!J60),'Limpopo-Olifants CMA'!J74)</f>
        <v>360709.80599999998</v>
      </c>
      <c r="K36" s="5">
        <f>IF(INDEX(E_budgeted!$B$3:$G$13,MATCH($A36,E_budgeted!$A$3:$A$13,0),MATCH($A$3,E_budgeted!$B$2:$G$2,0))&gt;0,MIN('Limpopo-Olifants CMA'!K74,E_budgeted!K60),'Limpopo-Olifants CMA'!K74)</f>
        <v>360709.80599999998</v>
      </c>
      <c r="L36" s="5">
        <f t="shared" ref="L36:L45" si="15">AVERAGE(B36:K36)</f>
        <v>360709.80599999992</v>
      </c>
    </row>
    <row r="37" spans="1:12" x14ac:dyDescent="0.25">
      <c r="A37" s="4" t="s">
        <v>11</v>
      </c>
      <c r="B37" s="5">
        <f>IF(INDEX(E_budgeted!$B$3:$G$13,MATCH($A37,E_budgeted!$A$3:$A$13,0),MATCH($A$3,E_budgeted!$B$2:$G$2,0))&gt;0,MIN('Limpopo-Olifants CMA'!B75,E_budgeted!B61),'Limpopo-Olifants CMA'!B75)</f>
        <v>0</v>
      </c>
      <c r="C37" s="5">
        <f>IF(INDEX(E_budgeted!$B$3:$G$13,MATCH($A37,E_budgeted!$A$3:$A$13,0),MATCH($A$3,E_budgeted!$B$2:$G$2,0))&gt;0,MIN('Limpopo-Olifants CMA'!C75,E_budgeted!C61),'Limpopo-Olifants CMA'!C75)</f>
        <v>0</v>
      </c>
      <c r="D37" s="5">
        <f>IF(INDEX(E_budgeted!$B$3:$G$13,MATCH($A37,E_budgeted!$A$3:$A$13,0),MATCH($A$3,E_budgeted!$B$2:$G$2,0))&gt;0,MIN('Limpopo-Olifants CMA'!D75,E_budgeted!D61),'Limpopo-Olifants CMA'!D75)</f>
        <v>0</v>
      </c>
      <c r="E37" s="5">
        <f>IF(INDEX(E_budgeted!$B$3:$G$13,MATCH($A37,E_budgeted!$A$3:$A$13,0),MATCH($A$3,E_budgeted!$B$2:$G$2,0))&gt;0,MIN('Limpopo-Olifants CMA'!E75,E_budgeted!E61),'Limpopo-Olifants CMA'!E75)</f>
        <v>0</v>
      </c>
      <c r="F37" s="5">
        <f>IF(INDEX(E_budgeted!$B$3:$G$13,MATCH($A37,E_budgeted!$A$3:$A$13,0),MATCH($A$3,E_budgeted!$B$2:$G$2,0))&gt;0,MIN('Limpopo-Olifants CMA'!F75,E_budgeted!F61),'Limpopo-Olifants CMA'!F75)</f>
        <v>0</v>
      </c>
      <c r="G37" s="5">
        <f>IF(INDEX(E_budgeted!$B$3:$G$13,MATCH($A37,E_budgeted!$A$3:$A$13,0),MATCH($A$3,E_budgeted!$B$2:$G$2,0))&gt;0,MIN('Limpopo-Olifants CMA'!G75,E_budgeted!G61),'Limpopo-Olifants CMA'!G75)</f>
        <v>0</v>
      </c>
      <c r="H37" s="5">
        <f>IF(INDEX(E_budgeted!$B$3:$G$13,MATCH($A37,E_budgeted!$A$3:$A$13,0),MATCH($A$3,E_budgeted!$B$2:$G$2,0))&gt;0,MIN('Limpopo-Olifants CMA'!H75,E_budgeted!H61),'Limpopo-Olifants CMA'!H75)</f>
        <v>0</v>
      </c>
      <c r="I37" s="5">
        <f>IF(INDEX(E_budgeted!$B$3:$G$13,MATCH($A37,E_budgeted!$A$3:$A$13,0),MATCH($A$3,E_budgeted!$B$2:$G$2,0))&gt;0,MIN('Limpopo-Olifants CMA'!I75,E_budgeted!I61),'Limpopo-Olifants CMA'!I75)</f>
        <v>0</v>
      </c>
      <c r="J37" s="5">
        <f>IF(INDEX(E_budgeted!$B$3:$G$13,MATCH($A37,E_budgeted!$A$3:$A$13,0),MATCH($A$3,E_budgeted!$B$2:$G$2,0))&gt;0,MIN('Limpopo-Olifants CMA'!J75,E_budgeted!J61),'Limpopo-Olifants CMA'!J75)</f>
        <v>0</v>
      </c>
      <c r="K37" s="5">
        <f>IF(INDEX(E_budgeted!$B$3:$G$13,MATCH($A37,E_budgeted!$A$3:$A$13,0),MATCH($A$3,E_budgeted!$B$2:$G$2,0))&gt;0,MIN('Limpopo-Olifants CMA'!K75,E_budgeted!K61),'Limpopo-Olifants CMA'!K75)</f>
        <v>0</v>
      </c>
      <c r="L37" s="5">
        <f t="shared" si="15"/>
        <v>0</v>
      </c>
    </row>
    <row r="38" spans="1:12" x14ac:dyDescent="0.25">
      <c r="A38" s="4" t="s">
        <v>124</v>
      </c>
      <c r="B38" s="5">
        <f>IF(INDEX(E_budgeted!$B$3:$G$13,MATCH($A38,E_budgeted!$A$3:$A$13,0),MATCH($A$3,E_budgeted!$B$2:$G$2,0))&gt;0,MIN('Limpopo-Olifants CMA'!B76,E_budgeted!B62),'Limpopo-Olifants CMA'!B76)</f>
        <v>300000</v>
      </c>
      <c r="C38" s="5">
        <f>IF(INDEX(E_budgeted!$B$3:$G$13,MATCH($A38,E_budgeted!$A$3:$A$13,0),MATCH($A$3,E_budgeted!$B$2:$G$2,0))&gt;0,MIN('Limpopo-Olifants CMA'!C76,E_budgeted!C62),'Limpopo-Olifants CMA'!C76)</f>
        <v>300000</v>
      </c>
      <c r="D38" s="5">
        <f>IF(INDEX(E_budgeted!$B$3:$G$13,MATCH($A38,E_budgeted!$A$3:$A$13,0),MATCH($A$3,E_budgeted!$B$2:$G$2,0))&gt;0,MIN('Limpopo-Olifants CMA'!D76,E_budgeted!D62),'Limpopo-Olifants CMA'!D76)</f>
        <v>300000</v>
      </c>
      <c r="E38" s="5">
        <f>IF(INDEX(E_budgeted!$B$3:$G$13,MATCH($A38,E_budgeted!$A$3:$A$13,0),MATCH($A$3,E_budgeted!$B$2:$G$2,0))&gt;0,MIN('Limpopo-Olifants CMA'!E76,E_budgeted!E62),'Limpopo-Olifants CMA'!E76)</f>
        <v>300000</v>
      </c>
      <c r="F38" s="5">
        <f>IF(INDEX(E_budgeted!$B$3:$G$13,MATCH($A38,E_budgeted!$A$3:$A$13,0),MATCH($A$3,E_budgeted!$B$2:$G$2,0))&gt;0,MIN('Limpopo-Olifants CMA'!F76,E_budgeted!F62),'Limpopo-Olifants CMA'!F76)</f>
        <v>300000</v>
      </c>
      <c r="G38" s="5">
        <f>IF(INDEX(E_budgeted!$B$3:$G$13,MATCH($A38,E_budgeted!$A$3:$A$13,0),MATCH($A$3,E_budgeted!$B$2:$G$2,0))&gt;0,MIN('Limpopo-Olifants CMA'!G76,E_budgeted!G62),'Limpopo-Olifants CMA'!G76)</f>
        <v>300000</v>
      </c>
      <c r="H38" s="5">
        <f>IF(INDEX(E_budgeted!$B$3:$G$13,MATCH($A38,E_budgeted!$A$3:$A$13,0),MATCH($A$3,E_budgeted!$B$2:$G$2,0))&gt;0,MIN('Limpopo-Olifants CMA'!H76,E_budgeted!H62),'Limpopo-Olifants CMA'!H76)</f>
        <v>300000</v>
      </c>
      <c r="I38" s="5">
        <f>IF(INDEX(E_budgeted!$B$3:$G$13,MATCH($A38,E_budgeted!$A$3:$A$13,0),MATCH($A$3,E_budgeted!$B$2:$G$2,0))&gt;0,MIN('Limpopo-Olifants CMA'!I76,E_budgeted!I62),'Limpopo-Olifants CMA'!I76)</f>
        <v>300000</v>
      </c>
      <c r="J38" s="5">
        <f>IF(INDEX(E_budgeted!$B$3:$G$13,MATCH($A38,E_budgeted!$A$3:$A$13,0),MATCH($A$3,E_budgeted!$B$2:$G$2,0))&gt;0,MIN('Limpopo-Olifants CMA'!J76,E_budgeted!J62),'Limpopo-Olifants CMA'!J76)</f>
        <v>300000</v>
      </c>
      <c r="K38" s="5">
        <f>IF(INDEX(E_budgeted!$B$3:$G$13,MATCH($A38,E_budgeted!$A$3:$A$13,0),MATCH($A$3,E_budgeted!$B$2:$G$2,0))&gt;0,MIN('Limpopo-Olifants CMA'!K76,E_budgeted!K62),'Limpopo-Olifants CMA'!K76)</f>
        <v>300000</v>
      </c>
      <c r="L38" s="5">
        <f t="shared" si="15"/>
        <v>300000</v>
      </c>
    </row>
    <row r="39" spans="1:12" x14ac:dyDescent="0.25">
      <c r="A39" s="4" t="s">
        <v>12</v>
      </c>
      <c r="B39" s="5">
        <f>IF(INDEX(E_budgeted!$B$3:$G$13,MATCH($A39,E_budgeted!$A$3:$A$13,0),MATCH($A$3,E_budgeted!$B$2:$G$2,0))&gt;0,MIN('Limpopo-Olifants CMA'!B77,E_budgeted!B63),'Limpopo-Olifants CMA'!B77)</f>
        <v>0</v>
      </c>
      <c r="C39" s="5">
        <f>IF(INDEX(E_budgeted!$B$3:$G$13,MATCH($A39,E_budgeted!$A$3:$A$13,0),MATCH($A$3,E_budgeted!$B$2:$G$2,0))&gt;0,MIN('Limpopo-Olifants CMA'!C77,E_budgeted!C63),'Limpopo-Olifants CMA'!C77)</f>
        <v>0</v>
      </c>
      <c r="D39" s="5">
        <f>IF(INDEX(E_budgeted!$B$3:$G$13,MATCH($A39,E_budgeted!$A$3:$A$13,0),MATCH($A$3,E_budgeted!$B$2:$G$2,0))&gt;0,MIN('Limpopo-Olifants CMA'!D77,E_budgeted!D63),'Limpopo-Olifants CMA'!D77)</f>
        <v>0</v>
      </c>
      <c r="E39" s="5">
        <f>IF(INDEX(E_budgeted!$B$3:$G$13,MATCH($A39,E_budgeted!$A$3:$A$13,0),MATCH($A$3,E_budgeted!$B$2:$G$2,0))&gt;0,MIN('Limpopo-Olifants CMA'!E77,E_budgeted!E63),'Limpopo-Olifants CMA'!E77)</f>
        <v>0</v>
      </c>
      <c r="F39" s="5">
        <f>IF(INDEX(E_budgeted!$B$3:$G$13,MATCH($A39,E_budgeted!$A$3:$A$13,0),MATCH($A$3,E_budgeted!$B$2:$G$2,0))&gt;0,MIN('Limpopo-Olifants CMA'!F77,E_budgeted!F63),'Limpopo-Olifants CMA'!F77)</f>
        <v>0</v>
      </c>
      <c r="G39" s="5">
        <f>IF(INDEX(E_budgeted!$B$3:$G$13,MATCH($A39,E_budgeted!$A$3:$A$13,0),MATCH($A$3,E_budgeted!$B$2:$G$2,0))&gt;0,MIN('Limpopo-Olifants CMA'!G77,E_budgeted!G63),'Limpopo-Olifants CMA'!G77)</f>
        <v>0</v>
      </c>
      <c r="H39" s="5">
        <f>IF(INDEX(E_budgeted!$B$3:$G$13,MATCH($A39,E_budgeted!$A$3:$A$13,0),MATCH($A$3,E_budgeted!$B$2:$G$2,0))&gt;0,MIN('Limpopo-Olifants CMA'!H77,E_budgeted!H63),'Limpopo-Olifants CMA'!H77)</f>
        <v>0</v>
      </c>
      <c r="I39" s="5">
        <f>IF(INDEX(E_budgeted!$B$3:$G$13,MATCH($A39,E_budgeted!$A$3:$A$13,0),MATCH($A$3,E_budgeted!$B$2:$G$2,0))&gt;0,MIN('Limpopo-Olifants CMA'!I77,E_budgeted!I63),'Limpopo-Olifants CMA'!I77)</f>
        <v>0</v>
      </c>
      <c r="J39" s="5">
        <f>IF(INDEX(E_budgeted!$B$3:$G$13,MATCH($A39,E_budgeted!$A$3:$A$13,0),MATCH($A$3,E_budgeted!$B$2:$G$2,0))&gt;0,MIN('Limpopo-Olifants CMA'!J77,E_budgeted!J63),'Limpopo-Olifants CMA'!J77)</f>
        <v>0</v>
      </c>
      <c r="K39" s="5">
        <f>IF(INDEX(E_budgeted!$B$3:$G$13,MATCH($A39,E_budgeted!$A$3:$A$13,0),MATCH($A$3,E_budgeted!$B$2:$G$2,0))&gt;0,MIN('Limpopo-Olifants CMA'!K77,E_budgeted!K63),'Limpopo-Olifants CMA'!K77)</f>
        <v>0</v>
      </c>
      <c r="L39" s="5">
        <f t="shared" si="15"/>
        <v>0</v>
      </c>
    </row>
    <row r="40" spans="1:12" x14ac:dyDescent="0.25">
      <c r="A40" s="4" t="s">
        <v>13</v>
      </c>
      <c r="B40" s="5">
        <f>IF(INDEX(E_budgeted!$B$3:$G$13,MATCH($A40,E_budgeted!$A$3:$A$13,0),MATCH($A$3,E_budgeted!$B$2:$G$2,0))&gt;0,MIN('Limpopo-Olifants CMA'!B78,E_budgeted!B64),'Limpopo-Olifants CMA'!B78)</f>
        <v>0</v>
      </c>
      <c r="C40" s="5">
        <f>IF(INDEX(E_budgeted!$B$3:$G$13,MATCH($A40,E_budgeted!$A$3:$A$13,0),MATCH($A$3,E_budgeted!$B$2:$G$2,0))&gt;0,MIN('Limpopo-Olifants CMA'!C78,E_budgeted!C64),'Limpopo-Olifants CMA'!C78)</f>
        <v>0</v>
      </c>
      <c r="D40" s="5">
        <f>IF(INDEX(E_budgeted!$B$3:$G$13,MATCH($A40,E_budgeted!$A$3:$A$13,0),MATCH($A$3,E_budgeted!$B$2:$G$2,0))&gt;0,MIN('Limpopo-Olifants CMA'!D78,E_budgeted!D64),'Limpopo-Olifants CMA'!D78)</f>
        <v>0</v>
      </c>
      <c r="E40" s="5">
        <f>IF(INDEX(E_budgeted!$B$3:$G$13,MATCH($A40,E_budgeted!$A$3:$A$13,0),MATCH($A$3,E_budgeted!$B$2:$G$2,0))&gt;0,MIN('Limpopo-Olifants CMA'!E78,E_budgeted!E64),'Limpopo-Olifants CMA'!E78)</f>
        <v>0</v>
      </c>
      <c r="F40" s="5">
        <f>IF(INDEX(E_budgeted!$B$3:$G$13,MATCH($A40,E_budgeted!$A$3:$A$13,0),MATCH($A$3,E_budgeted!$B$2:$G$2,0))&gt;0,MIN('Limpopo-Olifants CMA'!F78,E_budgeted!F64),'Limpopo-Olifants CMA'!F78)</f>
        <v>0</v>
      </c>
      <c r="G40" s="5">
        <f>IF(INDEX(E_budgeted!$B$3:$G$13,MATCH($A40,E_budgeted!$A$3:$A$13,0),MATCH($A$3,E_budgeted!$B$2:$G$2,0))&gt;0,MIN('Limpopo-Olifants CMA'!G78,E_budgeted!G64),'Limpopo-Olifants CMA'!G78)</f>
        <v>0</v>
      </c>
      <c r="H40" s="5">
        <f>IF(INDEX(E_budgeted!$B$3:$G$13,MATCH($A40,E_budgeted!$A$3:$A$13,0),MATCH($A$3,E_budgeted!$B$2:$G$2,0))&gt;0,MIN('Limpopo-Olifants CMA'!H78,E_budgeted!H64),'Limpopo-Olifants CMA'!H78)</f>
        <v>0</v>
      </c>
      <c r="I40" s="5">
        <f>IF(INDEX(E_budgeted!$B$3:$G$13,MATCH($A40,E_budgeted!$A$3:$A$13,0),MATCH($A$3,E_budgeted!$B$2:$G$2,0))&gt;0,MIN('Limpopo-Olifants CMA'!I78,E_budgeted!I64),'Limpopo-Olifants CMA'!I78)</f>
        <v>0</v>
      </c>
      <c r="J40" s="5">
        <f>IF(INDEX(E_budgeted!$B$3:$G$13,MATCH($A40,E_budgeted!$A$3:$A$13,0),MATCH($A$3,E_budgeted!$B$2:$G$2,0))&gt;0,MIN('Limpopo-Olifants CMA'!J78,E_budgeted!J64),'Limpopo-Olifants CMA'!J78)</f>
        <v>0</v>
      </c>
      <c r="K40" s="5">
        <f>IF(INDEX(E_budgeted!$B$3:$G$13,MATCH($A40,E_budgeted!$A$3:$A$13,0),MATCH($A$3,E_budgeted!$B$2:$G$2,0))&gt;0,MIN('Limpopo-Olifants CMA'!K78,E_budgeted!K64),'Limpopo-Olifants CMA'!K78)</f>
        <v>0</v>
      </c>
      <c r="L40" s="5">
        <f t="shared" si="15"/>
        <v>0</v>
      </c>
    </row>
    <row r="41" spans="1:12" x14ac:dyDescent="0.25">
      <c r="A41" s="4" t="s">
        <v>14</v>
      </c>
      <c r="B41" s="5">
        <f>IF(INDEX(E_budgeted!$B$3:$G$13,MATCH($A41,E_budgeted!$A$3:$A$13,0),MATCH($A$3,E_budgeted!$B$2:$G$2,0))&gt;0,MIN('Limpopo-Olifants CMA'!B79,E_budgeted!B65),'Limpopo-Olifants CMA'!B79)</f>
        <v>0</v>
      </c>
      <c r="C41" s="5">
        <f>IF(INDEX(E_budgeted!$B$3:$G$13,MATCH($A41,E_budgeted!$A$3:$A$13,0),MATCH($A$3,E_budgeted!$B$2:$G$2,0))&gt;0,MIN('Limpopo-Olifants CMA'!C79,E_budgeted!C65),'Limpopo-Olifants CMA'!C79)</f>
        <v>0</v>
      </c>
      <c r="D41" s="5">
        <f>IF(INDEX(E_budgeted!$B$3:$G$13,MATCH($A41,E_budgeted!$A$3:$A$13,0),MATCH($A$3,E_budgeted!$B$2:$G$2,0))&gt;0,MIN('Limpopo-Olifants CMA'!D79,E_budgeted!D65),'Limpopo-Olifants CMA'!D79)</f>
        <v>0</v>
      </c>
      <c r="E41" s="5">
        <f>IF(INDEX(E_budgeted!$B$3:$G$13,MATCH($A41,E_budgeted!$A$3:$A$13,0),MATCH($A$3,E_budgeted!$B$2:$G$2,0))&gt;0,MIN('Limpopo-Olifants CMA'!E79,E_budgeted!E65),'Limpopo-Olifants CMA'!E79)</f>
        <v>0</v>
      </c>
      <c r="F41" s="5">
        <f>IF(INDEX(E_budgeted!$B$3:$G$13,MATCH($A41,E_budgeted!$A$3:$A$13,0),MATCH($A$3,E_budgeted!$B$2:$G$2,0))&gt;0,MIN('Limpopo-Olifants CMA'!F79,E_budgeted!F65),'Limpopo-Olifants CMA'!F79)</f>
        <v>0</v>
      </c>
      <c r="G41" s="5">
        <f>IF(INDEX(E_budgeted!$B$3:$G$13,MATCH($A41,E_budgeted!$A$3:$A$13,0),MATCH($A$3,E_budgeted!$B$2:$G$2,0))&gt;0,MIN('Limpopo-Olifants CMA'!G79,E_budgeted!G65),'Limpopo-Olifants CMA'!G79)</f>
        <v>0</v>
      </c>
      <c r="H41" s="5">
        <f>IF(INDEX(E_budgeted!$B$3:$G$13,MATCH($A41,E_budgeted!$A$3:$A$13,0),MATCH($A$3,E_budgeted!$B$2:$G$2,0))&gt;0,MIN('Limpopo-Olifants CMA'!H79,E_budgeted!H65),'Limpopo-Olifants CMA'!H79)</f>
        <v>0</v>
      </c>
      <c r="I41" s="5">
        <f>IF(INDEX(E_budgeted!$B$3:$G$13,MATCH($A41,E_budgeted!$A$3:$A$13,0),MATCH($A$3,E_budgeted!$B$2:$G$2,0))&gt;0,MIN('Limpopo-Olifants CMA'!I79,E_budgeted!I65),'Limpopo-Olifants CMA'!I79)</f>
        <v>0</v>
      </c>
      <c r="J41" s="5">
        <f>IF(INDEX(E_budgeted!$B$3:$G$13,MATCH($A41,E_budgeted!$A$3:$A$13,0),MATCH($A$3,E_budgeted!$B$2:$G$2,0))&gt;0,MIN('Limpopo-Olifants CMA'!J79,E_budgeted!J65),'Limpopo-Olifants CMA'!J79)</f>
        <v>0</v>
      </c>
      <c r="K41" s="5">
        <f>IF(INDEX(E_budgeted!$B$3:$G$13,MATCH($A41,E_budgeted!$A$3:$A$13,0),MATCH($A$3,E_budgeted!$B$2:$G$2,0))&gt;0,MIN('Limpopo-Olifants CMA'!K79,E_budgeted!K65),'Limpopo-Olifants CMA'!K79)</f>
        <v>0</v>
      </c>
      <c r="L41" s="5">
        <f t="shared" si="15"/>
        <v>0</v>
      </c>
    </row>
    <row r="42" spans="1:12" x14ac:dyDescent="0.25">
      <c r="A42" s="4" t="s">
        <v>125</v>
      </c>
      <c r="B42" s="5">
        <f>IF(INDEX(E_budgeted!$B$3:$G$13,MATCH($A42,E_budgeted!$A$3:$A$13,0),MATCH($A$3,E_budgeted!$B$2:$G$2,0))&gt;0,MIN('Limpopo-Olifants CMA'!B80,E_budgeted!B66),'Limpopo-Olifants CMA'!B80)</f>
        <v>731745.32851150108</v>
      </c>
      <c r="C42" s="5">
        <f>IF(INDEX(E_budgeted!$B$3:$G$13,MATCH($A42,E_budgeted!$A$3:$A$13,0),MATCH($A$3,E_budgeted!$B$2:$G$2,0))&gt;0,MIN('Limpopo-Olifants CMA'!C80,E_budgeted!C66),'Limpopo-Olifants CMA'!C80)</f>
        <v>731745.32851150108</v>
      </c>
      <c r="D42" s="5">
        <f>IF(INDEX(E_budgeted!$B$3:$G$13,MATCH($A42,E_budgeted!$A$3:$A$13,0),MATCH($A$3,E_budgeted!$B$2:$G$2,0))&gt;0,MIN('Limpopo-Olifants CMA'!D80,E_budgeted!D66),'Limpopo-Olifants CMA'!D80)</f>
        <v>731745.32851150108</v>
      </c>
      <c r="E42" s="5">
        <f>IF(INDEX(E_budgeted!$B$3:$G$13,MATCH($A42,E_budgeted!$A$3:$A$13,0),MATCH($A$3,E_budgeted!$B$2:$G$2,0))&gt;0,MIN('Limpopo-Olifants CMA'!E80,E_budgeted!E66),'Limpopo-Olifants CMA'!E80)</f>
        <v>731745.32851150108</v>
      </c>
      <c r="F42" s="5">
        <f>IF(INDEX(E_budgeted!$B$3:$G$13,MATCH($A42,E_budgeted!$A$3:$A$13,0),MATCH($A$3,E_budgeted!$B$2:$G$2,0))&gt;0,MIN('Limpopo-Olifants CMA'!F80,E_budgeted!F66),'Limpopo-Olifants CMA'!F80)</f>
        <v>731745.32851150108</v>
      </c>
      <c r="G42" s="5">
        <f>IF(INDEX(E_budgeted!$B$3:$G$13,MATCH($A42,E_budgeted!$A$3:$A$13,0),MATCH($A$3,E_budgeted!$B$2:$G$2,0))&gt;0,MIN('Limpopo-Olifants CMA'!G80,E_budgeted!G66),'Limpopo-Olifants CMA'!G80)</f>
        <v>731745.32851150108</v>
      </c>
      <c r="H42" s="5">
        <f>IF(INDEX(E_budgeted!$B$3:$G$13,MATCH($A42,E_budgeted!$A$3:$A$13,0),MATCH($A$3,E_budgeted!$B$2:$G$2,0))&gt;0,MIN('Limpopo-Olifants CMA'!H80,E_budgeted!H66),'Limpopo-Olifants CMA'!H80)</f>
        <v>731745.32851150108</v>
      </c>
      <c r="I42" s="5">
        <f>IF(INDEX(E_budgeted!$B$3:$G$13,MATCH($A42,E_budgeted!$A$3:$A$13,0),MATCH($A$3,E_budgeted!$B$2:$G$2,0))&gt;0,MIN('Limpopo-Olifants CMA'!I80,E_budgeted!I66),'Limpopo-Olifants CMA'!I80)</f>
        <v>731745.32851150108</v>
      </c>
      <c r="J42" s="5">
        <f>IF(INDEX(E_budgeted!$B$3:$G$13,MATCH($A42,E_budgeted!$A$3:$A$13,0),MATCH($A$3,E_budgeted!$B$2:$G$2,0))&gt;0,MIN('Limpopo-Olifants CMA'!J80,E_budgeted!J66),'Limpopo-Olifants CMA'!J80)</f>
        <v>731745.32851150108</v>
      </c>
      <c r="K42" s="5">
        <f>IF(INDEX(E_budgeted!$B$3:$G$13,MATCH($A42,E_budgeted!$A$3:$A$13,0),MATCH($A$3,E_budgeted!$B$2:$G$2,0))&gt;0,MIN('Limpopo-Olifants CMA'!K80,E_budgeted!K66),'Limpopo-Olifants CMA'!K80)</f>
        <v>731745.32851150108</v>
      </c>
      <c r="L42" s="5">
        <f t="shared" si="15"/>
        <v>731745.32851150096</v>
      </c>
    </row>
    <row r="43" spans="1:12" x14ac:dyDescent="0.25">
      <c r="A43" s="4" t="s">
        <v>37</v>
      </c>
      <c r="B43" s="5">
        <f>IF(INDEX(E_budgeted!$B$3:$G$13,MATCH($A43,E_budgeted!$A$3:$A$13,0),MATCH($A$3,E_budgeted!$B$2:$G$2,0))&gt;0,MIN('Limpopo-Olifants CMA'!B81,E_budgeted!B67),'Limpopo-Olifants CMA'!B81)</f>
        <v>14599017.252805</v>
      </c>
      <c r="C43" s="5">
        <f>IF(INDEX(E_budgeted!$B$3:$G$13,MATCH($A43,E_budgeted!$A$3:$A$13,0),MATCH($A$3,E_budgeted!$B$2:$G$2,0))&gt;0,MIN('Limpopo-Olifants CMA'!C81,E_budgeted!C67),'Limpopo-Olifants CMA'!C81)</f>
        <v>14599017.252805</v>
      </c>
      <c r="D43" s="5">
        <f>IF(INDEX(E_budgeted!$B$3:$G$13,MATCH($A43,E_budgeted!$A$3:$A$13,0),MATCH($A$3,E_budgeted!$B$2:$G$2,0))&gt;0,MIN('Limpopo-Olifants CMA'!D81,E_budgeted!D67),'Limpopo-Olifants CMA'!D81)</f>
        <v>14599017.252805</v>
      </c>
      <c r="E43" s="5">
        <f>IF(INDEX(E_budgeted!$B$3:$G$13,MATCH($A43,E_budgeted!$A$3:$A$13,0),MATCH($A$3,E_budgeted!$B$2:$G$2,0))&gt;0,MIN('Limpopo-Olifants CMA'!E81,E_budgeted!E67),'Limpopo-Olifants CMA'!E81)</f>
        <v>14599017.252805</v>
      </c>
      <c r="F43" s="5">
        <f>IF(INDEX(E_budgeted!$B$3:$G$13,MATCH($A43,E_budgeted!$A$3:$A$13,0),MATCH($A$3,E_budgeted!$B$2:$G$2,0))&gt;0,MIN('Limpopo-Olifants CMA'!F81,E_budgeted!F67),'Limpopo-Olifants CMA'!F81)</f>
        <v>14599017.252805</v>
      </c>
      <c r="G43" s="5">
        <f>IF(INDEX(E_budgeted!$B$3:$G$13,MATCH($A43,E_budgeted!$A$3:$A$13,0),MATCH($A$3,E_budgeted!$B$2:$G$2,0))&gt;0,MIN('Limpopo-Olifants CMA'!G81,E_budgeted!G67),'Limpopo-Olifants CMA'!G81)</f>
        <v>14599017.252805</v>
      </c>
      <c r="H43" s="5">
        <f>IF(INDEX(E_budgeted!$B$3:$G$13,MATCH($A43,E_budgeted!$A$3:$A$13,0),MATCH($A$3,E_budgeted!$B$2:$G$2,0))&gt;0,MIN('Limpopo-Olifants CMA'!H81,E_budgeted!H67),'Limpopo-Olifants CMA'!H81)</f>
        <v>14599017.252805</v>
      </c>
      <c r="I43" s="5">
        <f>IF(INDEX(E_budgeted!$B$3:$G$13,MATCH($A43,E_budgeted!$A$3:$A$13,0),MATCH($A$3,E_budgeted!$B$2:$G$2,0))&gt;0,MIN('Limpopo-Olifants CMA'!I81,E_budgeted!I67),'Limpopo-Olifants CMA'!I81)</f>
        <v>14599017.252805</v>
      </c>
      <c r="J43" s="5">
        <f>IF(INDEX(E_budgeted!$B$3:$G$13,MATCH($A43,E_budgeted!$A$3:$A$13,0),MATCH($A$3,E_budgeted!$B$2:$G$2,0))&gt;0,MIN('Limpopo-Olifants CMA'!J81,E_budgeted!J67),'Limpopo-Olifants CMA'!J81)</f>
        <v>14599017.252805</v>
      </c>
      <c r="K43" s="5">
        <f>IF(INDEX(E_budgeted!$B$3:$G$13,MATCH($A43,E_budgeted!$A$3:$A$13,0),MATCH($A$3,E_budgeted!$B$2:$G$2,0))&gt;0,MIN('Limpopo-Olifants CMA'!K81,E_budgeted!K67),'Limpopo-Olifants CMA'!K81)</f>
        <v>14599017.252805</v>
      </c>
      <c r="L43" s="5">
        <f t="shared" si="15"/>
        <v>14599017.252804998</v>
      </c>
    </row>
    <row r="44" spans="1:12" x14ac:dyDescent="0.25">
      <c r="A44" s="4" t="s">
        <v>38</v>
      </c>
      <c r="B44" s="5">
        <f>IF(INDEX(E_budgeted!$B$3:$G$13,MATCH($A44,E_budgeted!$A$3:$A$13,0),MATCH($A$3,E_budgeted!$B$2:$G$2,0))&gt;0,MIN('Limpopo-Olifants CMA'!B82,E_budgeted!B68),'Limpopo-Olifants CMA'!B82)</f>
        <v>0</v>
      </c>
      <c r="C44" s="5">
        <f>IF(INDEX(E_budgeted!$B$3:$G$13,MATCH($A44,E_budgeted!$A$3:$A$13,0),MATCH($A$3,E_budgeted!$B$2:$G$2,0))&gt;0,MIN('Limpopo-Olifants CMA'!C82,E_budgeted!C68),'Limpopo-Olifants CMA'!C82)</f>
        <v>0</v>
      </c>
      <c r="D44" s="5">
        <f>IF(INDEX(E_budgeted!$B$3:$G$13,MATCH($A44,E_budgeted!$A$3:$A$13,0),MATCH($A$3,E_budgeted!$B$2:$G$2,0))&gt;0,MIN('Limpopo-Olifants CMA'!D82,E_budgeted!D68),'Limpopo-Olifants CMA'!D82)</f>
        <v>0</v>
      </c>
      <c r="E44" s="5">
        <f>IF(INDEX(E_budgeted!$B$3:$G$13,MATCH($A44,E_budgeted!$A$3:$A$13,0),MATCH($A$3,E_budgeted!$B$2:$G$2,0))&gt;0,MIN('Limpopo-Olifants CMA'!E82,E_budgeted!E68),'Limpopo-Olifants CMA'!E82)</f>
        <v>0</v>
      </c>
      <c r="F44" s="5">
        <f>IF(INDEX(E_budgeted!$B$3:$G$13,MATCH($A44,E_budgeted!$A$3:$A$13,0),MATCH($A$3,E_budgeted!$B$2:$G$2,0))&gt;0,MIN('Limpopo-Olifants CMA'!F82,E_budgeted!F68),'Limpopo-Olifants CMA'!F82)</f>
        <v>0</v>
      </c>
      <c r="G44" s="5">
        <f>IF(INDEX(E_budgeted!$B$3:$G$13,MATCH($A44,E_budgeted!$A$3:$A$13,0),MATCH($A$3,E_budgeted!$B$2:$G$2,0))&gt;0,MIN('Limpopo-Olifants CMA'!G82,E_budgeted!G68),'Limpopo-Olifants CMA'!G82)</f>
        <v>0</v>
      </c>
      <c r="H44" s="5">
        <f>IF(INDEX(E_budgeted!$B$3:$G$13,MATCH($A44,E_budgeted!$A$3:$A$13,0),MATCH($A$3,E_budgeted!$B$2:$G$2,0))&gt;0,MIN('Limpopo-Olifants CMA'!H82,E_budgeted!H68),'Limpopo-Olifants CMA'!H82)</f>
        <v>0</v>
      </c>
      <c r="I44" s="5">
        <f>IF(INDEX(E_budgeted!$B$3:$G$13,MATCH($A44,E_budgeted!$A$3:$A$13,0),MATCH($A$3,E_budgeted!$B$2:$G$2,0))&gt;0,MIN('Limpopo-Olifants CMA'!I82,E_budgeted!I68),'Limpopo-Olifants CMA'!I82)</f>
        <v>0</v>
      </c>
      <c r="J44" s="5">
        <f>IF(INDEX(E_budgeted!$B$3:$G$13,MATCH($A44,E_budgeted!$A$3:$A$13,0),MATCH($A$3,E_budgeted!$B$2:$G$2,0))&gt;0,MIN('Limpopo-Olifants CMA'!J82,E_budgeted!J68),'Limpopo-Olifants CMA'!J82)</f>
        <v>0</v>
      </c>
      <c r="K44" s="5">
        <f>IF(INDEX(E_budgeted!$B$3:$G$13,MATCH($A44,E_budgeted!$A$3:$A$13,0),MATCH($A$3,E_budgeted!$B$2:$G$2,0))&gt;0,MIN('Limpopo-Olifants CMA'!K82,E_budgeted!K68),'Limpopo-Olifants CMA'!K82)</f>
        <v>0</v>
      </c>
      <c r="L44" s="5">
        <f t="shared" si="15"/>
        <v>0</v>
      </c>
    </row>
    <row r="45" spans="1:12" x14ac:dyDescent="0.25">
      <c r="A45" s="4" t="s">
        <v>15</v>
      </c>
      <c r="B45" s="13">
        <f>IF(INDEX(E_budgeted!$B$3:$G$13,MATCH($A45,E_budgeted!$A$3:$A$13,0),MATCH($A$3,E_budgeted!$B$2:$G$2,0))&gt;0,MIN('Limpopo-Olifants CMA'!B83,E_budgeted!B69),'Limpopo-Olifants CMA'!B83)</f>
        <v>8228610.9952024613</v>
      </c>
      <c r="C45" s="13">
        <f>IF(INDEX(E_budgeted!$B$3:$G$13,MATCH($A45,E_budgeted!$A$3:$A$13,0),MATCH($A$3,E_budgeted!$B$2:$G$2,0))&gt;0,MIN('Limpopo-Olifants CMA'!C83,E_budgeted!C69),'Limpopo-Olifants CMA'!C83)</f>
        <v>8228610.9952024613</v>
      </c>
      <c r="D45" s="13">
        <f>IF(INDEX(E_budgeted!$B$3:$G$13,MATCH($A45,E_budgeted!$A$3:$A$13,0),MATCH($A$3,E_budgeted!$B$2:$G$2,0))&gt;0,MIN('Limpopo-Olifants CMA'!D83,E_budgeted!D69),'Limpopo-Olifants CMA'!D83)</f>
        <v>8228610.9952024613</v>
      </c>
      <c r="E45" s="13">
        <f>IF(INDEX(E_budgeted!$B$3:$G$13,MATCH($A45,E_budgeted!$A$3:$A$13,0),MATCH($A$3,E_budgeted!$B$2:$G$2,0))&gt;0,MIN('Limpopo-Olifants CMA'!E83,E_budgeted!E69),'Limpopo-Olifants CMA'!E83)</f>
        <v>8228610.9952024613</v>
      </c>
      <c r="F45" s="13">
        <f>IF(INDEX(E_budgeted!$B$3:$G$13,MATCH($A45,E_budgeted!$A$3:$A$13,0),MATCH($A$3,E_budgeted!$B$2:$G$2,0))&gt;0,MIN('Limpopo-Olifants CMA'!F83,E_budgeted!F69),'Limpopo-Olifants CMA'!F83)</f>
        <v>8228610.9952024613</v>
      </c>
      <c r="G45" s="13">
        <f>IF(INDEX(E_budgeted!$B$3:$G$13,MATCH($A45,E_budgeted!$A$3:$A$13,0),MATCH($A$3,E_budgeted!$B$2:$G$2,0))&gt;0,MIN('Limpopo-Olifants CMA'!G83,E_budgeted!G69),'Limpopo-Olifants CMA'!G83)</f>
        <v>8228610.9952024613</v>
      </c>
      <c r="H45" s="13">
        <f>IF(INDEX(E_budgeted!$B$3:$G$13,MATCH($A45,E_budgeted!$A$3:$A$13,0),MATCH($A$3,E_budgeted!$B$2:$G$2,0))&gt;0,MIN('Limpopo-Olifants CMA'!H83,E_budgeted!H69),'Limpopo-Olifants CMA'!H83)</f>
        <v>8228610.9952024613</v>
      </c>
      <c r="I45" s="13">
        <f>IF(INDEX(E_budgeted!$B$3:$G$13,MATCH($A45,E_budgeted!$A$3:$A$13,0),MATCH($A$3,E_budgeted!$B$2:$G$2,0))&gt;0,MIN('Limpopo-Olifants CMA'!I83,E_budgeted!I69),'Limpopo-Olifants CMA'!I83)</f>
        <v>8228610.9952024613</v>
      </c>
      <c r="J45" s="13">
        <f>IF(INDEX(E_budgeted!$B$3:$G$13,MATCH($A45,E_budgeted!$A$3:$A$13,0),MATCH($A$3,E_budgeted!$B$2:$G$2,0))&gt;0,MIN('Limpopo-Olifants CMA'!J83,E_budgeted!J69),'Limpopo-Olifants CMA'!J83)</f>
        <v>8228610.9952024613</v>
      </c>
      <c r="K45" s="13">
        <f>IF(INDEX(E_budgeted!$B$3:$G$13,MATCH($A45,E_budgeted!$A$3:$A$13,0),MATCH($A$3,E_budgeted!$B$2:$G$2,0))&gt;0,MIN('Limpopo-Olifants CMA'!K83,E_budgeted!K69),'Limpopo-Olifants CMA'!K83)</f>
        <v>8228610.9952024613</v>
      </c>
      <c r="L45" s="5">
        <f t="shared" si="15"/>
        <v>8228610.9952024613</v>
      </c>
    </row>
    <row r="46" spans="1:12" x14ac:dyDescent="0.25">
      <c r="B46" s="5">
        <f>SUM(B35:B45)</f>
        <v>27061834.936173961</v>
      </c>
      <c r="C46" s="5">
        <f t="shared" ref="C46:K46" si="16">SUM(C35:C45)</f>
        <v>27061834.936173961</v>
      </c>
      <c r="D46" s="5">
        <f t="shared" si="16"/>
        <v>27061834.936173961</v>
      </c>
      <c r="E46" s="5">
        <f t="shared" si="16"/>
        <v>27061834.936173961</v>
      </c>
      <c r="F46" s="5">
        <f t="shared" si="16"/>
        <v>27061834.936173961</v>
      </c>
      <c r="G46" s="5">
        <f t="shared" si="16"/>
        <v>27061834.936173961</v>
      </c>
      <c r="H46" s="5">
        <f t="shared" si="16"/>
        <v>27061834.936173961</v>
      </c>
      <c r="I46" s="5">
        <f t="shared" si="16"/>
        <v>27061834.936173961</v>
      </c>
      <c r="J46" s="5">
        <f t="shared" si="16"/>
        <v>27061834.936173961</v>
      </c>
      <c r="K46" s="5">
        <f t="shared" si="16"/>
        <v>27061834.936173961</v>
      </c>
      <c r="L46" s="5"/>
    </row>
    <row r="47" spans="1:12" x14ac:dyDescent="0.25">
      <c r="B47" s="16">
        <f>B46/$B$17</f>
        <v>0.24208943096745653</v>
      </c>
    </row>
    <row r="48" spans="1:12" ht="30" x14ac:dyDescent="0.25">
      <c r="A48" s="15" t="s">
        <v>94</v>
      </c>
      <c r="B48" s="12" t="str">
        <f>'Summary dashboard'!C4</f>
        <v>2023</v>
      </c>
      <c r="C48" s="12">
        <f t="shared" ref="C48" si="17">B48+1</f>
        <v>2024</v>
      </c>
      <c r="D48" s="12">
        <f t="shared" ref="D48" si="18">C48+1</f>
        <v>2025</v>
      </c>
      <c r="E48" s="12">
        <f t="shared" ref="E48" si="19">D48+1</f>
        <v>2026</v>
      </c>
      <c r="F48" s="12">
        <f t="shared" ref="F48" si="20">E48+1</f>
        <v>2027</v>
      </c>
      <c r="G48" s="12">
        <f t="shared" ref="G48" si="21">F48+1</f>
        <v>2028</v>
      </c>
      <c r="H48" s="12">
        <f t="shared" ref="H48" si="22">G48+1</f>
        <v>2029</v>
      </c>
      <c r="I48" s="12">
        <f t="shared" ref="I48" si="23">H48+1</f>
        <v>2030</v>
      </c>
      <c r="J48" s="12">
        <f t="shared" ref="J48" si="24">I48+1</f>
        <v>2031</v>
      </c>
      <c r="K48" s="12">
        <f t="shared" ref="K48" si="25">J48+1</f>
        <v>2032</v>
      </c>
      <c r="L48" s="1" t="s">
        <v>28</v>
      </c>
    </row>
    <row r="49" spans="1:12" x14ac:dyDescent="0.25">
      <c r="A49" s="4" t="s">
        <v>35</v>
      </c>
      <c r="B49" s="5">
        <f>IF(INDEX(E_budgeted!$B$3:$G$13,MATCH($A49,E_budgeted!$A$3:$A$13,0),MATCH($A$3,E_budgeted!$B$2:$G$2,0))&gt;0,MIN('Limpopo-Olifants CMA'!B87,E_budgeted!B73),'Limpopo-Olifants CMA'!B87)</f>
        <v>3340304.4578050002</v>
      </c>
      <c r="C49" s="5">
        <f>IF(INDEX(E_budgeted!$B$3:$G$13,MATCH($A49,E_budgeted!$A$3:$A$13,0),MATCH($A$3,E_budgeted!$B$2:$G$2,0))&gt;0,MIN('Limpopo-Olifants CMA'!C87,E_budgeted!C73),'Limpopo-Olifants CMA'!C87)</f>
        <v>3340304.4578050002</v>
      </c>
      <c r="D49" s="5">
        <f>IF(INDEX(E_budgeted!$B$3:$G$13,MATCH($A49,E_budgeted!$A$3:$A$13,0),MATCH($A$3,E_budgeted!$B$2:$G$2,0))&gt;0,MIN('Limpopo-Olifants CMA'!D87,E_budgeted!D73),'Limpopo-Olifants CMA'!D87)</f>
        <v>3340304.4578050002</v>
      </c>
      <c r="E49" s="5">
        <f>IF(INDEX(E_budgeted!$B$3:$G$13,MATCH($A49,E_budgeted!$A$3:$A$13,0),MATCH($A$3,E_budgeted!$B$2:$G$2,0))&gt;0,MIN('Limpopo-Olifants CMA'!E87,E_budgeted!E73),'Limpopo-Olifants CMA'!E87)</f>
        <v>3340304.4578050002</v>
      </c>
      <c r="F49" s="5">
        <f>IF(INDEX(E_budgeted!$B$3:$G$13,MATCH($A49,E_budgeted!$A$3:$A$13,0),MATCH($A$3,E_budgeted!$B$2:$G$2,0))&gt;0,MIN('Limpopo-Olifants CMA'!F87,E_budgeted!F73),'Limpopo-Olifants CMA'!F87)</f>
        <v>3340304.4578050002</v>
      </c>
      <c r="G49" s="5">
        <f>IF(INDEX(E_budgeted!$B$3:$G$13,MATCH($A49,E_budgeted!$A$3:$A$13,0),MATCH($A$3,E_budgeted!$B$2:$G$2,0))&gt;0,MIN('Limpopo-Olifants CMA'!G87,E_budgeted!G73),'Limpopo-Olifants CMA'!G87)</f>
        <v>3340304.4578050002</v>
      </c>
      <c r="H49" s="5">
        <f>IF(INDEX(E_budgeted!$B$3:$G$13,MATCH($A49,E_budgeted!$A$3:$A$13,0),MATCH($A$3,E_budgeted!$B$2:$G$2,0))&gt;0,MIN('Limpopo-Olifants CMA'!H87,E_budgeted!H73),'Limpopo-Olifants CMA'!H87)</f>
        <v>3340304.4578050002</v>
      </c>
      <c r="I49" s="5">
        <f>IF(INDEX(E_budgeted!$B$3:$G$13,MATCH($A49,E_budgeted!$A$3:$A$13,0),MATCH($A$3,E_budgeted!$B$2:$G$2,0))&gt;0,MIN('Limpopo-Olifants CMA'!I87,E_budgeted!I73),'Limpopo-Olifants CMA'!I87)</f>
        <v>3340304.4578050002</v>
      </c>
      <c r="J49" s="5">
        <f>IF(INDEX(E_budgeted!$B$3:$G$13,MATCH($A49,E_budgeted!$A$3:$A$13,0),MATCH($A$3,E_budgeted!$B$2:$G$2,0))&gt;0,MIN('Limpopo-Olifants CMA'!J87,E_budgeted!J73),'Limpopo-Olifants CMA'!J87)</f>
        <v>3340304.4578050002</v>
      </c>
      <c r="K49" s="5">
        <f>IF(INDEX(E_budgeted!$B$3:$G$13,MATCH($A49,E_budgeted!$A$3:$A$13,0),MATCH($A$3,E_budgeted!$B$2:$G$2,0))&gt;0,MIN('Limpopo-Olifants CMA'!K87,E_budgeted!K73),'Limpopo-Olifants CMA'!K87)</f>
        <v>3340304.4578050002</v>
      </c>
      <c r="L49" s="5">
        <f>AVERAGE(B49:K49)</f>
        <v>3340304.4578050002</v>
      </c>
    </row>
    <row r="50" spans="1:12" x14ac:dyDescent="0.25">
      <c r="A50" s="4" t="s">
        <v>36</v>
      </c>
      <c r="B50" s="5">
        <f>IF(INDEX(E_budgeted!$B$3:$G$13,MATCH($A50,E_budgeted!$A$3:$A$13,0),MATCH($A$3,E_budgeted!$B$2:$G$2,0))&gt;0,MIN('Limpopo-Olifants CMA'!B88,E_budgeted!B74),'Limpopo-Olifants CMA'!B88)</f>
        <v>721419.61199999996</v>
      </c>
      <c r="C50" s="5">
        <f>IF(INDEX(E_budgeted!$B$3:$G$13,MATCH($A50,E_budgeted!$A$3:$A$13,0),MATCH($A$3,E_budgeted!$B$2:$G$2,0))&gt;0,MIN('Limpopo-Olifants CMA'!C88,E_budgeted!C74),'Limpopo-Olifants CMA'!C88)</f>
        <v>721419.61199999996</v>
      </c>
      <c r="D50" s="5">
        <f>IF(INDEX(E_budgeted!$B$3:$G$13,MATCH($A50,E_budgeted!$A$3:$A$13,0),MATCH($A$3,E_budgeted!$B$2:$G$2,0))&gt;0,MIN('Limpopo-Olifants CMA'!D88,E_budgeted!D74),'Limpopo-Olifants CMA'!D88)</f>
        <v>721419.61199999996</v>
      </c>
      <c r="E50" s="5">
        <f>IF(INDEX(E_budgeted!$B$3:$G$13,MATCH($A50,E_budgeted!$A$3:$A$13,0),MATCH($A$3,E_budgeted!$B$2:$G$2,0))&gt;0,MIN('Limpopo-Olifants CMA'!E88,E_budgeted!E74),'Limpopo-Olifants CMA'!E88)</f>
        <v>721419.61199999996</v>
      </c>
      <c r="F50" s="5">
        <f>IF(INDEX(E_budgeted!$B$3:$G$13,MATCH($A50,E_budgeted!$A$3:$A$13,0),MATCH($A$3,E_budgeted!$B$2:$G$2,0))&gt;0,MIN('Limpopo-Olifants CMA'!F88,E_budgeted!F74),'Limpopo-Olifants CMA'!F88)</f>
        <v>721419.61199999996</v>
      </c>
      <c r="G50" s="5">
        <f>IF(INDEX(E_budgeted!$B$3:$G$13,MATCH($A50,E_budgeted!$A$3:$A$13,0),MATCH($A$3,E_budgeted!$B$2:$G$2,0))&gt;0,MIN('Limpopo-Olifants CMA'!G88,E_budgeted!G74),'Limpopo-Olifants CMA'!G88)</f>
        <v>721419.61199999996</v>
      </c>
      <c r="H50" s="5">
        <f>IF(INDEX(E_budgeted!$B$3:$G$13,MATCH($A50,E_budgeted!$A$3:$A$13,0),MATCH($A$3,E_budgeted!$B$2:$G$2,0))&gt;0,MIN('Limpopo-Olifants CMA'!H88,E_budgeted!H74),'Limpopo-Olifants CMA'!H88)</f>
        <v>721419.61199999996</v>
      </c>
      <c r="I50" s="5">
        <f>IF(INDEX(E_budgeted!$B$3:$G$13,MATCH($A50,E_budgeted!$A$3:$A$13,0),MATCH($A$3,E_budgeted!$B$2:$G$2,0))&gt;0,MIN('Limpopo-Olifants CMA'!I88,E_budgeted!I74),'Limpopo-Olifants CMA'!I88)</f>
        <v>721419.61199999996</v>
      </c>
      <c r="J50" s="5">
        <f>IF(INDEX(E_budgeted!$B$3:$G$13,MATCH($A50,E_budgeted!$A$3:$A$13,0),MATCH($A$3,E_budgeted!$B$2:$G$2,0))&gt;0,MIN('Limpopo-Olifants CMA'!J88,E_budgeted!J74),'Limpopo-Olifants CMA'!J88)</f>
        <v>721419.61199999996</v>
      </c>
      <c r="K50" s="5">
        <f>IF(INDEX(E_budgeted!$B$3:$G$13,MATCH($A50,E_budgeted!$A$3:$A$13,0),MATCH($A$3,E_budgeted!$B$2:$G$2,0))&gt;0,MIN('Limpopo-Olifants CMA'!K88,E_budgeted!K74),'Limpopo-Olifants CMA'!K88)</f>
        <v>721419.61199999996</v>
      </c>
      <c r="L50" s="5">
        <f t="shared" ref="L50:L59" si="26">AVERAGE(B50:K50)</f>
        <v>721419.61199999985</v>
      </c>
    </row>
    <row r="51" spans="1:12" x14ac:dyDescent="0.25">
      <c r="A51" s="4" t="s">
        <v>11</v>
      </c>
      <c r="B51" s="5">
        <f>IF(INDEX(E_budgeted!$B$3:$G$13,MATCH($A51,E_budgeted!$A$3:$A$13,0),MATCH($A$3,E_budgeted!$B$2:$G$2,0))&gt;0,MIN('Limpopo-Olifants CMA'!B89,E_budgeted!B75),'Limpopo-Olifants CMA'!B89)</f>
        <v>0</v>
      </c>
      <c r="C51" s="5">
        <f>IF(INDEX(E_budgeted!$B$3:$G$13,MATCH($A51,E_budgeted!$A$3:$A$13,0),MATCH($A$3,E_budgeted!$B$2:$G$2,0))&gt;0,MIN('Limpopo-Olifants CMA'!C89,E_budgeted!C75),'Limpopo-Olifants CMA'!C89)</f>
        <v>0</v>
      </c>
      <c r="D51" s="5">
        <f>IF(INDEX(E_budgeted!$B$3:$G$13,MATCH($A51,E_budgeted!$A$3:$A$13,0),MATCH($A$3,E_budgeted!$B$2:$G$2,0))&gt;0,MIN('Limpopo-Olifants CMA'!D89,E_budgeted!D75),'Limpopo-Olifants CMA'!D89)</f>
        <v>0</v>
      </c>
      <c r="E51" s="5">
        <f>IF(INDEX(E_budgeted!$B$3:$G$13,MATCH($A51,E_budgeted!$A$3:$A$13,0),MATCH($A$3,E_budgeted!$B$2:$G$2,0))&gt;0,MIN('Limpopo-Olifants CMA'!E89,E_budgeted!E75),'Limpopo-Olifants CMA'!E89)</f>
        <v>0</v>
      </c>
      <c r="F51" s="5">
        <f>IF(INDEX(E_budgeted!$B$3:$G$13,MATCH($A51,E_budgeted!$A$3:$A$13,0),MATCH($A$3,E_budgeted!$B$2:$G$2,0))&gt;0,MIN('Limpopo-Olifants CMA'!F89,E_budgeted!F75),'Limpopo-Olifants CMA'!F89)</f>
        <v>0</v>
      </c>
      <c r="G51" s="5">
        <f>IF(INDEX(E_budgeted!$B$3:$G$13,MATCH($A51,E_budgeted!$A$3:$A$13,0),MATCH($A$3,E_budgeted!$B$2:$G$2,0))&gt;0,MIN('Limpopo-Olifants CMA'!G89,E_budgeted!G75),'Limpopo-Olifants CMA'!G89)</f>
        <v>0</v>
      </c>
      <c r="H51" s="5">
        <f>IF(INDEX(E_budgeted!$B$3:$G$13,MATCH($A51,E_budgeted!$A$3:$A$13,0),MATCH($A$3,E_budgeted!$B$2:$G$2,0))&gt;0,MIN('Limpopo-Olifants CMA'!H89,E_budgeted!H75),'Limpopo-Olifants CMA'!H89)</f>
        <v>0</v>
      </c>
      <c r="I51" s="5">
        <f>IF(INDEX(E_budgeted!$B$3:$G$13,MATCH($A51,E_budgeted!$A$3:$A$13,0),MATCH($A$3,E_budgeted!$B$2:$G$2,0))&gt;0,MIN('Limpopo-Olifants CMA'!I89,E_budgeted!I75),'Limpopo-Olifants CMA'!I89)</f>
        <v>0</v>
      </c>
      <c r="J51" s="5">
        <f>IF(INDEX(E_budgeted!$B$3:$G$13,MATCH($A51,E_budgeted!$A$3:$A$13,0),MATCH($A$3,E_budgeted!$B$2:$G$2,0))&gt;0,MIN('Limpopo-Olifants CMA'!J89,E_budgeted!J75),'Limpopo-Olifants CMA'!J89)</f>
        <v>0</v>
      </c>
      <c r="K51" s="5">
        <f>IF(INDEX(E_budgeted!$B$3:$G$13,MATCH($A51,E_budgeted!$A$3:$A$13,0),MATCH($A$3,E_budgeted!$B$2:$G$2,0))&gt;0,MIN('Limpopo-Olifants CMA'!K89,E_budgeted!K75),'Limpopo-Olifants CMA'!K89)</f>
        <v>0</v>
      </c>
      <c r="L51" s="5">
        <f t="shared" si="26"/>
        <v>0</v>
      </c>
    </row>
    <row r="52" spans="1:12" x14ac:dyDescent="0.25">
      <c r="A52" s="4" t="s">
        <v>124</v>
      </c>
      <c r="B52" s="5">
        <f>IF(INDEX(E_budgeted!$B$3:$G$13,MATCH($A52,E_budgeted!$A$3:$A$13,0),MATCH($A$3,E_budgeted!$B$2:$G$2,0))&gt;0,MIN('Limpopo-Olifants CMA'!B90,E_budgeted!B76),'Limpopo-Olifants CMA'!B90)</f>
        <v>350000</v>
      </c>
      <c r="C52" s="5">
        <f>IF(INDEX(E_budgeted!$B$3:$G$13,MATCH($A52,E_budgeted!$A$3:$A$13,0),MATCH($A$3,E_budgeted!$B$2:$G$2,0))&gt;0,MIN('Limpopo-Olifants CMA'!C90,E_budgeted!C76),'Limpopo-Olifants CMA'!C90)</f>
        <v>350000</v>
      </c>
      <c r="D52" s="5">
        <f>IF(INDEX(E_budgeted!$B$3:$G$13,MATCH($A52,E_budgeted!$A$3:$A$13,0),MATCH($A$3,E_budgeted!$B$2:$G$2,0))&gt;0,MIN('Limpopo-Olifants CMA'!D90,E_budgeted!D76),'Limpopo-Olifants CMA'!D90)</f>
        <v>350000</v>
      </c>
      <c r="E52" s="5">
        <f>IF(INDEX(E_budgeted!$B$3:$G$13,MATCH($A52,E_budgeted!$A$3:$A$13,0),MATCH($A$3,E_budgeted!$B$2:$G$2,0))&gt;0,MIN('Limpopo-Olifants CMA'!E90,E_budgeted!E76),'Limpopo-Olifants CMA'!E90)</f>
        <v>350000</v>
      </c>
      <c r="F52" s="5">
        <f>IF(INDEX(E_budgeted!$B$3:$G$13,MATCH($A52,E_budgeted!$A$3:$A$13,0),MATCH($A$3,E_budgeted!$B$2:$G$2,0))&gt;0,MIN('Limpopo-Olifants CMA'!F90,E_budgeted!F76),'Limpopo-Olifants CMA'!F90)</f>
        <v>350000</v>
      </c>
      <c r="G52" s="5">
        <f>IF(INDEX(E_budgeted!$B$3:$G$13,MATCH($A52,E_budgeted!$A$3:$A$13,0),MATCH($A$3,E_budgeted!$B$2:$G$2,0))&gt;0,MIN('Limpopo-Olifants CMA'!G90,E_budgeted!G76),'Limpopo-Olifants CMA'!G90)</f>
        <v>350000</v>
      </c>
      <c r="H52" s="5">
        <f>IF(INDEX(E_budgeted!$B$3:$G$13,MATCH($A52,E_budgeted!$A$3:$A$13,0),MATCH($A$3,E_budgeted!$B$2:$G$2,0))&gt;0,MIN('Limpopo-Olifants CMA'!H90,E_budgeted!H76),'Limpopo-Olifants CMA'!H90)</f>
        <v>350000</v>
      </c>
      <c r="I52" s="5">
        <f>IF(INDEX(E_budgeted!$B$3:$G$13,MATCH($A52,E_budgeted!$A$3:$A$13,0),MATCH($A$3,E_budgeted!$B$2:$G$2,0))&gt;0,MIN('Limpopo-Olifants CMA'!I90,E_budgeted!I76),'Limpopo-Olifants CMA'!I90)</f>
        <v>350000</v>
      </c>
      <c r="J52" s="5">
        <f>IF(INDEX(E_budgeted!$B$3:$G$13,MATCH($A52,E_budgeted!$A$3:$A$13,0),MATCH($A$3,E_budgeted!$B$2:$G$2,0))&gt;0,MIN('Limpopo-Olifants CMA'!J90,E_budgeted!J76),'Limpopo-Olifants CMA'!J90)</f>
        <v>350000</v>
      </c>
      <c r="K52" s="5">
        <f>IF(INDEX(E_budgeted!$B$3:$G$13,MATCH($A52,E_budgeted!$A$3:$A$13,0),MATCH($A$3,E_budgeted!$B$2:$G$2,0))&gt;0,MIN('Limpopo-Olifants CMA'!K90,E_budgeted!K76),'Limpopo-Olifants CMA'!K90)</f>
        <v>350000</v>
      </c>
      <c r="L52" s="5">
        <f t="shared" si="26"/>
        <v>350000</v>
      </c>
    </row>
    <row r="53" spans="1:12" x14ac:dyDescent="0.25">
      <c r="A53" s="4" t="s">
        <v>12</v>
      </c>
      <c r="B53" s="5">
        <f>IF(INDEX(E_budgeted!$B$3:$G$13,MATCH($A53,E_budgeted!$A$3:$A$13,0),MATCH($A$3,E_budgeted!$B$2:$G$2,0))&gt;0,MIN('Limpopo-Olifants CMA'!B91,E_budgeted!B77),'Limpopo-Olifants CMA'!B91)</f>
        <v>1150362.0273333332</v>
      </c>
      <c r="C53" s="5">
        <f>IF(INDEX(E_budgeted!$B$3:$G$13,MATCH($A53,E_budgeted!$A$3:$A$13,0),MATCH($A$3,E_budgeted!$B$2:$G$2,0))&gt;0,MIN('Limpopo-Olifants CMA'!C91,E_budgeted!C77),'Limpopo-Olifants CMA'!C91)</f>
        <v>1150362.0273333332</v>
      </c>
      <c r="D53" s="5">
        <f>IF(INDEX(E_budgeted!$B$3:$G$13,MATCH($A53,E_budgeted!$A$3:$A$13,0),MATCH($A$3,E_budgeted!$B$2:$G$2,0))&gt;0,MIN('Limpopo-Olifants CMA'!D91,E_budgeted!D77),'Limpopo-Olifants CMA'!D91)</f>
        <v>1150362.0273333332</v>
      </c>
      <c r="E53" s="5">
        <f>IF(INDEX(E_budgeted!$B$3:$G$13,MATCH($A53,E_budgeted!$A$3:$A$13,0),MATCH($A$3,E_budgeted!$B$2:$G$2,0))&gt;0,MIN('Limpopo-Olifants CMA'!E91,E_budgeted!E77),'Limpopo-Olifants CMA'!E91)</f>
        <v>1150362.0273333332</v>
      </c>
      <c r="F53" s="5">
        <f>IF(INDEX(E_budgeted!$B$3:$G$13,MATCH($A53,E_budgeted!$A$3:$A$13,0),MATCH($A$3,E_budgeted!$B$2:$G$2,0))&gt;0,MIN('Limpopo-Olifants CMA'!F91,E_budgeted!F77),'Limpopo-Olifants CMA'!F91)</f>
        <v>1150362.0273333332</v>
      </c>
      <c r="G53" s="5">
        <f>IF(INDEX(E_budgeted!$B$3:$G$13,MATCH($A53,E_budgeted!$A$3:$A$13,0),MATCH($A$3,E_budgeted!$B$2:$G$2,0))&gt;0,MIN('Limpopo-Olifants CMA'!G91,E_budgeted!G77),'Limpopo-Olifants CMA'!G91)</f>
        <v>1150362.0273333332</v>
      </c>
      <c r="H53" s="5">
        <f>IF(INDEX(E_budgeted!$B$3:$G$13,MATCH($A53,E_budgeted!$A$3:$A$13,0),MATCH($A$3,E_budgeted!$B$2:$G$2,0))&gt;0,MIN('Limpopo-Olifants CMA'!H91,E_budgeted!H77),'Limpopo-Olifants CMA'!H91)</f>
        <v>1150362.0273333332</v>
      </c>
      <c r="I53" s="5">
        <f>IF(INDEX(E_budgeted!$B$3:$G$13,MATCH($A53,E_budgeted!$A$3:$A$13,0),MATCH($A$3,E_budgeted!$B$2:$G$2,0))&gt;0,MIN('Limpopo-Olifants CMA'!I91,E_budgeted!I77),'Limpopo-Olifants CMA'!I91)</f>
        <v>1150362.0273333332</v>
      </c>
      <c r="J53" s="5">
        <f>IF(INDEX(E_budgeted!$B$3:$G$13,MATCH($A53,E_budgeted!$A$3:$A$13,0),MATCH($A$3,E_budgeted!$B$2:$G$2,0))&gt;0,MIN('Limpopo-Olifants CMA'!J91,E_budgeted!J77),'Limpopo-Olifants CMA'!J91)</f>
        <v>1150362.0273333332</v>
      </c>
      <c r="K53" s="5">
        <f>IF(INDEX(E_budgeted!$B$3:$G$13,MATCH($A53,E_budgeted!$A$3:$A$13,0),MATCH($A$3,E_budgeted!$B$2:$G$2,0))&gt;0,MIN('Limpopo-Olifants CMA'!K91,E_budgeted!K77),'Limpopo-Olifants CMA'!K91)</f>
        <v>1150362.0273333332</v>
      </c>
      <c r="L53" s="5">
        <f t="shared" si="26"/>
        <v>1150362.0273333334</v>
      </c>
    </row>
    <row r="54" spans="1:12" x14ac:dyDescent="0.25">
      <c r="A54" s="4" t="s">
        <v>13</v>
      </c>
      <c r="B54" s="5">
        <f>IF(INDEX(E_budgeted!$B$3:$G$13,MATCH($A54,E_budgeted!$A$3:$A$13,0),MATCH($A$3,E_budgeted!$B$2:$G$2,0))&gt;0,MIN('Limpopo-Olifants CMA'!B92,E_budgeted!B78),'Limpopo-Olifants CMA'!B92)</f>
        <v>0</v>
      </c>
      <c r="C54" s="5">
        <f>IF(INDEX(E_budgeted!$B$3:$G$13,MATCH($A54,E_budgeted!$A$3:$A$13,0),MATCH($A$3,E_budgeted!$B$2:$G$2,0))&gt;0,MIN('Limpopo-Olifants CMA'!C92,E_budgeted!C78),'Limpopo-Olifants CMA'!C92)</f>
        <v>0</v>
      </c>
      <c r="D54" s="5">
        <f>IF(INDEX(E_budgeted!$B$3:$G$13,MATCH($A54,E_budgeted!$A$3:$A$13,0),MATCH($A$3,E_budgeted!$B$2:$G$2,0))&gt;0,MIN('Limpopo-Olifants CMA'!D92,E_budgeted!D78),'Limpopo-Olifants CMA'!D92)</f>
        <v>0</v>
      </c>
      <c r="E54" s="5">
        <f>IF(INDEX(E_budgeted!$B$3:$G$13,MATCH($A54,E_budgeted!$A$3:$A$13,0),MATCH($A$3,E_budgeted!$B$2:$G$2,0))&gt;0,MIN('Limpopo-Olifants CMA'!E92,E_budgeted!E78),'Limpopo-Olifants CMA'!E92)</f>
        <v>0</v>
      </c>
      <c r="F54" s="5">
        <f>IF(INDEX(E_budgeted!$B$3:$G$13,MATCH($A54,E_budgeted!$A$3:$A$13,0),MATCH($A$3,E_budgeted!$B$2:$G$2,0))&gt;0,MIN('Limpopo-Olifants CMA'!F92,E_budgeted!F78),'Limpopo-Olifants CMA'!F92)</f>
        <v>0</v>
      </c>
      <c r="G54" s="5">
        <f>IF(INDEX(E_budgeted!$B$3:$G$13,MATCH($A54,E_budgeted!$A$3:$A$13,0),MATCH($A$3,E_budgeted!$B$2:$G$2,0))&gt;0,MIN('Limpopo-Olifants CMA'!G92,E_budgeted!G78),'Limpopo-Olifants CMA'!G92)</f>
        <v>0</v>
      </c>
      <c r="H54" s="5">
        <f>IF(INDEX(E_budgeted!$B$3:$G$13,MATCH($A54,E_budgeted!$A$3:$A$13,0),MATCH($A$3,E_budgeted!$B$2:$G$2,0))&gt;0,MIN('Limpopo-Olifants CMA'!H92,E_budgeted!H78),'Limpopo-Olifants CMA'!H92)</f>
        <v>0</v>
      </c>
      <c r="I54" s="5">
        <f>IF(INDEX(E_budgeted!$B$3:$G$13,MATCH($A54,E_budgeted!$A$3:$A$13,0),MATCH($A$3,E_budgeted!$B$2:$G$2,0))&gt;0,MIN('Limpopo-Olifants CMA'!I92,E_budgeted!I78),'Limpopo-Olifants CMA'!I92)</f>
        <v>0</v>
      </c>
      <c r="J54" s="5">
        <f>IF(INDEX(E_budgeted!$B$3:$G$13,MATCH($A54,E_budgeted!$A$3:$A$13,0),MATCH($A$3,E_budgeted!$B$2:$G$2,0))&gt;0,MIN('Limpopo-Olifants CMA'!J92,E_budgeted!J78),'Limpopo-Olifants CMA'!J92)</f>
        <v>0</v>
      </c>
      <c r="K54" s="5">
        <f>IF(INDEX(E_budgeted!$B$3:$G$13,MATCH($A54,E_budgeted!$A$3:$A$13,0),MATCH($A$3,E_budgeted!$B$2:$G$2,0))&gt;0,MIN('Limpopo-Olifants CMA'!K92,E_budgeted!K78),'Limpopo-Olifants CMA'!K92)</f>
        <v>0</v>
      </c>
      <c r="L54" s="5">
        <f t="shared" si="26"/>
        <v>0</v>
      </c>
    </row>
    <row r="55" spans="1:12" x14ac:dyDescent="0.25">
      <c r="A55" s="4" t="s">
        <v>14</v>
      </c>
      <c r="B55" s="5">
        <f>IF(INDEX(E_budgeted!$B$3:$G$13,MATCH($A55,E_budgeted!$A$3:$A$13,0),MATCH($A$3,E_budgeted!$B$2:$G$2,0))&gt;0,MIN('Limpopo-Olifants CMA'!B93,E_budgeted!B79),'Limpopo-Olifants CMA'!B93)</f>
        <v>0</v>
      </c>
      <c r="C55" s="5">
        <f>IF(INDEX(E_budgeted!$B$3:$G$13,MATCH($A55,E_budgeted!$A$3:$A$13,0),MATCH($A$3,E_budgeted!$B$2:$G$2,0))&gt;0,MIN('Limpopo-Olifants CMA'!C93,E_budgeted!C79),'Limpopo-Olifants CMA'!C93)</f>
        <v>0</v>
      </c>
      <c r="D55" s="5">
        <f>IF(INDEX(E_budgeted!$B$3:$G$13,MATCH($A55,E_budgeted!$A$3:$A$13,0),MATCH($A$3,E_budgeted!$B$2:$G$2,0))&gt;0,MIN('Limpopo-Olifants CMA'!D93,E_budgeted!D79),'Limpopo-Olifants CMA'!D93)</f>
        <v>0</v>
      </c>
      <c r="E55" s="5">
        <f>IF(INDEX(E_budgeted!$B$3:$G$13,MATCH($A55,E_budgeted!$A$3:$A$13,0),MATCH($A$3,E_budgeted!$B$2:$G$2,0))&gt;0,MIN('Limpopo-Olifants CMA'!E93,E_budgeted!E79),'Limpopo-Olifants CMA'!E93)</f>
        <v>0</v>
      </c>
      <c r="F55" s="5">
        <f>IF(INDEX(E_budgeted!$B$3:$G$13,MATCH($A55,E_budgeted!$A$3:$A$13,0),MATCH($A$3,E_budgeted!$B$2:$G$2,0))&gt;0,MIN('Limpopo-Olifants CMA'!F93,E_budgeted!F79),'Limpopo-Olifants CMA'!F93)</f>
        <v>0</v>
      </c>
      <c r="G55" s="5">
        <f>IF(INDEX(E_budgeted!$B$3:$G$13,MATCH($A55,E_budgeted!$A$3:$A$13,0),MATCH($A$3,E_budgeted!$B$2:$G$2,0))&gt;0,MIN('Limpopo-Olifants CMA'!G93,E_budgeted!G79),'Limpopo-Olifants CMA'!G93)</f>
        <v>0</v>
      </c>
      <c r="H55" s="5">
        <f>IF(INDEX(E_budgeted!$B$3:$G$13,MATCH($A55,E_budgeted!$A$3:$A$13,0),MATCH($A$3,E_budgeted!$B$2:$G$2,0))&gt;0,MIN('Limpopo-Olifants CMA'!H93,E_budgeted!H79),'Limpopo-Olifants CMA'!H93)</f>
        <v>0</v>
      </c>
      <c r="I55" s="5">
        <f>IF(INDEX(E_budgeted!$B$3:$G$13,MATCH($A55,E_budgeted!$A$3:$A$13,0),MATCH($A$3,E_budgeted!$B$2:$G$2,0))&gt;0,MIN('Limpopo-Olifants CMA'!I93,E_budgeted!I79),'Limpopo-Olifants CMA'!I93)</f>
        <v>0</v>
      </c>
      <c r="J55" s="5">
        <f>IF(INDEX(E_budgeted!$B$3:$G$13,MATCH($A55,E_budgeted!$A$3:$A$13,0),MATCH($A$3,E_budgeted!$B$2:$G$2,0))&gt;0,MIN('Limpopo-Olifants CMA'!J93,E_budgeted!J79),'Limpopo-Olifants CMA'!J93)</f>
        <v>0</v>
      </c>
      <c r="K55" s="5">
        <f>IF(INDEX(E_budgeted!$B$3:$G$13,MATCH($A55,E_budgeted!$A$3:$A$13,0),MATCH($A$3,E_budgeted!$B$2:$G$2,0))&gt;0,MIN('Limpopo-Olifants CMA'!K93,E_budgeted!K79),'Limpopo-Olifants CMA'!K93)</f>
        <v>0</v>
      </c>
      <c r="L55" s="5">
        <f t="shared" si="26"/>
        <v>0</v>
      </c>
    </row>
    <row r="56" spans="1:12" x14ac:dyDescent="0.25">
      <c r="A56" s="4" t="s">
        <v>125</v>
      </c>
      <c r="B56" s="5">
        <f>IF(INDEX(E_budgeted!$B$3:$G$13,MATCH($A56,E_budgeted!$A$3:$A$13,0),MATCH($A$3,E_budgeted!$B$2:$G$2,0))&gt;0,MIN('Limpopo-Olifants CMA'!B94,E_budgeted!B80),'Limpopo-Olifants CMA'!B94)</f>
        <v>853702.88326341799</v>
      </c>
      <c r="C56" s="5">
        <f>IF(INDEX(E_budgeted!$B$3:$G$13,MATCH($A56,E_budgeted!$A$3:$A$13,0),MATCH($A$3,E_budgeted!$B$2:$G$2,0))&gt;0,MIN('Limpopo-Olifants CMA'!C94,E_budgeted!C80),'Limpopo-Olifants CMA'!C94)</f>
        <v>853702.88326341799</v>
      </c>
      <c r="D56" s="5">
        <f>IF(INDEX(E_budgeted!$B$3:$G$13,MATCH($A56,E_budgeted!$A$3:$A$13,0),MATCH($A$3,E_budgeted!$B$2:$G$2,0))&gt;0,MIN('Limpopo-Olifants CMA'!D94,E_budgeted!D80),'Limpopo-Olifants CMA'!D94)</f>
        <v>853702.88326341799</v>
      </c>
      <c r="E56" s="5">
        <f>IF(INDEX(E_budgeted!$B$3:$G$13,MATCH($A56,E_budgeted!$A$3:$A$13,0),MATCH($A$3,E_budgeted!$B$2:$G$2,0))&gt;0,MIN('Limpopo-Olifants CMA'!E94,E_budgeted!E80),'Limpopo-Olifants CMA'!E94)</f>
        <v>853702.88326341799</v>
      </c>
      <c r="F56" s="5">
        <f>IF(INDEX(E_budgeted!$B$3:$G$13,MATCH($A56,E_budgeted!$A$3:$A$13,0),MATCH($A$3,E_budgeted!$B$2:$G$2,0))&gt;0,MIN('Limpopo-Olifants CMA'!F94,E_budgeted!F80),'Limpopo-Olifants CMA'!F94)</f>
        <v>853702.88326341799</v>
      </c>
      <c r="G56" s="5">
        <f>IF(INDEX(E_budgeted!$B$3:$G$13,MATCH($A56,E_budgeted!$A$3:$A$13,0),MATCH($A$3,E_budgeted!$B$2:$G$2,0))&gt;0,MIN('Limpopo-Olifants CMA'!G94,E_budgeted!G80),'Limpopo-Olifants CMA'!G94)</f>
        <v>853702.88326341799</v>
      </c>
      <c r="H56" s="5">
        <f>IF(INDEX(E_budgeted!$B$3:$G$13,MATCH($A56,E_budgeted!$A$3:$A$13,0),MATCH($A$3,E_budgeted!$B$2:$G$2,0))&gt;0,MIN('Limpopo-Olifants CMA'!H94,E_budgeted!H80),'Limpopo-Olifants CMA'!H94)</f>
        <v>853702.88326341799</v>
      </c>
      <c r="I56" s="5">
        <f>IF(INDEX(E_budgeted!$B$3:$G$13,MATCH($A56,E_budgeted!$A$3:$A$13,0),MATCH($A$3,E_budgeted!$B$2:$G$2,0))&gt;0,MIN('Limpopo-Olifants CMA'!I94,E_budgeted!I80),'Limpopo-Olifants CMA'!I94)</f>
        <v>853702.88326341799</v>
      </c>
      <c r="J56" s="5">
        <f>IF(INDEX(E_budgeted!$B$3:$G$13,MATCH($A56,E_budgeted!$A$3:$A$13,0),MATCH($A$3,E_budgeted!$B$2:$G$2,0))&gt;0,MIN('Limpopo-Olifants CMA'!J94,E_budgeted!J80),'Limpopo-Olifants CMA'!J94)</f>
        <v>853702.88326341799</v>
      </c>
      <c r="K56" s="5">
        <f>IF(INDEX(E_budgeted!$B$3:$G$13,MATCH($A56,E_budgeted!$A$3:$A$13,0),MATCH($A$3,E_budgeted!$B$2:$G$2,0))&gt;0,MIN('Limpopo-Olifants CMA'!K94,E_budgeted!K80),'Limpopo-Olifants CMA'!K94)</f>
        <v>853702.88326341799</v>
      </c>
      <c r="L56" s="5">
        <f t="shared" si="26"/>
        <v>853702.88326341822</v>
      </c>
    </row>
    <row r="57" spans="1:12" x14ac:dyDescent="0.25">
      <c r="A57" s="4" t="s">
        <v>37</v>
      </c>
      <c r="B57" s="5">
        <f>IF(INDEX(E_budgeted!$B$3:$G$13,MATCH($A57,E_budgeted!$A$3:$A$13,0),MATCH($A$3,E_budgeted!$B$2:$G$2,0))&gt;0,MIN('Limpopo-Olifants CMA'!B95,E_budgeted!B81),'Limpopo-Olifants CMA'!B95)</f>
        <v>17994137.544154998</v>
      </c>
      <c r="C57" s="5">
        <f>IF(INDEX(E_budgeted!$B$3:$G$13,MATCH($A57,E_budgeted!$A$3:$A$13,0),MATCH($A$3,E_budgeted!$B$2:$G$2,0))&gt;0,MIN('Limpopo-Olifants CMA'!C95,E_budgeted!C81),'Limpopo-Olifants CMA'!C95)</f>
        <v>17994137.544154998</v>
      </c>
      <c r="D57" s="5">
        <f>IF(INDEX(E_budgeted!$B$3:$G$13,MATCH($A57,E_budgeted!$A$3:$A$13,0),MATCH($A$3,E_budgeted!$B$2:$G$2,0))&gt;0,MIN('Limpopo-Olifants CMA'!D95,E_budgeted!D81),'Limpopo-Olifants CMA'!D95)</f>
        <v>17994137.544154998</v>
      </c>
      <c r="E57" s="5">
        <f>IF(INDEX(E_budgeted!$B$3:$G$13,MATCH($A57,E_budgeted!$A$3:$A$13,0),MATCH($A$3,E_budgeted!$B$2:$G$2,0))&gt;0,MIN('Limpopo-Olifants CMA'!E95,E_budgeted!E81),'Limpopo-Olifants CMA'!E95)</f>
        <v>17994137.544154998</v>
      </c>
      <c r="F57" s="5">
        <f>IF(INDEX(E_budgeted!$B$3:$G$13,MATCH($A57,E_budgeted!$A$3:$A$13,0),MATCH($A$3,E_budgeted!$B$2:$G$2,0))&gt;0,MIN('Limpopo-Olifants CMA'!F95,E_budgeted!F81),'Limpopo-Olifants CMA'!F95)</f>
        <v>17994137.544154998</v>
      </c>
      <c r="G57" s="5">
        <f>IF(INDEX(E_budgeted!$B$3:$G$13,MATCH($A57,E_budgeted!$A$3:$A$13,0),MATCH($A$3,E_budgeted!$B$2:$G$2,0))&gt;0,MIN('Limpopo-Olifants CMA'!G95,E_budgeted!G81),'Limpopo-Olifants CMA'!G95)</f>
        <v>17994137.544154998</v>
      </c>
      <c r="H57" s="5">
        <f>IF(INDEX(E_budgeted!$B$3:$G$13,MATCH($A57,E_budgeted!$A$3:$A$13,0),MATCH($A$3,E_budgeted!$B$2:$G$2,0))&gt;0,MIN('Limpopo-Olifants CMA'!H95,E_budgeted!H81),'Limpopo-Olifants CMA'!H95)</f>
        <v>17994137.544154998</v>
      </c>
      <c r="I57" s="5">
        <f>IF(INDEX(E_budgeted!$B$3:$G$13,MATCH($A57,E_budgeted!$A$3:$A$13,0),MATCH($A$3,E_budgeted!$B$2:$G$2,0))&gt;0,MIN('Limpopo-Olifants CMA'!I95,E_budgeted!I81),'Limpopo-Olifants CMA'!I95)</f>
        <v>17994137.544154998</v>
      </c>
      <c r="J57" s="5">
        <f>IF(INDEX(E_budgeted!$B$3:$G$13,MATCH($A57,E_budgeted!$A$3:$A$13,0),MATCH($A$3,E_budgeted!$B$2:$G$2,0))&gt;0,MIN('Limpopo-Olifants CMA'!J95,E_budgeted!J81),'Limpopo-Olifants CMA'!J95)</f>
        <v>17994137.544154998</v>
      </c>
      <c r="K57" s="5">
        <f>IF(INDEX(E_budgeted!$B$3:$G$13,MATCH($A57,E_budgeted!$A$3:$A$13,0),MATCH($A$3,E_budgeted!$B$2:$G$2,0))&gt;0,MIN('Limpopo-Olifants CMA'!K95,E_budgeted!K81),'Limpopo-Olifants CMA'!K95)</f>
        <v>17994137.544154998</v>
      </c>
      <c r="L57" s="5">
        <f t="shared" si="26"/>
        <v>17994137.544154998</v>
      </c>
    </row>
    <row r="58" spans="1:12" x14ac:dyDescent="0.25">
      <c r="A58" s="4" t="s">
        <v>38</v>
      </c>
      <c r="B58" s="5">
        <f>IF(INDEX(E_budgeted!$B$3:$G$13,MATCH($A58,E_budgeted!$A$3:$A$13,0),MATCH($A$3,E_budgeted!$B$2:$G$2,0))&gt;0,MIN('Limpopo-Olifants CMA'!B96,E_budgeted!B82),'Limpopo-Olifants CMA'!B96)</f>
        <v>168537.66149999999</v>
      </c>
      <c r="C58" s="5">
        <f>IF(INDEX(E_budgeted!$B$3:$G$13,MATCH($A58,E_budgeted!$A$3:$A$13,0),MATCH($A$3,E_budgeted!$B$2:$G$2,0))&gt;0,MIN('Limpopo-Olifants CMA'!C96,E_budgeted!C82),'Limpopo-Olifants CMA'!C96)</f>
        <v>168537.66149999999</v>
      </c>
      <c r="D58" s="5">
        <f>IF(INDEX(E_budgeted!$B$3:$G$13,MATCH($A58,E_budgeted!$A$3:$A$13,0),MATCH($A$3,E_budgeted!$B$2:$G$2,0))&gt;0,MIN('Limpopo-Olifants CMA'!D96,E_budgeted!D82),'Limpopo-Olifants CMA'!D96)</f>
        <v>168537.66149999999</v>
      </c>
      <c r="E58" s="5">
        <f>IF(INDEX(E_budgeted!$B$3:$G$13,MATCH($A58,E_budgeted!$A$3:$A$13,0),MATCH($A$3,E_budgeted!$B$2:$G$2,0))&gt;0,MIN('Limpopo-Olifants CMA'!E96,E_budgeted!E82),'Limpopo-Olifants CMA'!E96)</f>
        <v>168537.66149999999</v>
      </c>
      <c r="F58" s="5">
        <f>IF(INDEX(E_budgeted!$B$3:$G$13,MATCH($A58,E_budgeted!$A$3:$A$13,0),MATCH($A$3,E_budgeted!$B$2:$G$2,0))&gt;0,MIN('Limpopo-Olifants CMA'!F96,E_budgeted!F82),'Limpopo-Olifants CMA'!F96)</f>
        <v>168537.66149999999</v>
      </c>
      <c r="G58" s="5">
        <f>IF(INDEX(E_budgeted!$B$3:$G$13,MATCH($A58,E_budgeted!$A$3:$A$13,0),MATCH($A$3,E_budgeted!$B$2:$G$2,0))&gt;0,MIN('Limpopo-Olifants CMA'!G96,E_budgeted!G82),'Limpopo-Olifants CMA'!G96)</f>
        <v>168537.66149999999</v>
      </c>
      <c r="H58" s="5">
        <f>IF(INDEX(E_budgeted!$B$3:$G$13,MATCH($A58,E_budgeted!$A$3:$A$13,0),MATCH($A$3,E_budgeted!$B$2:$G$2,0))&gt;0,MIN('Limpopo-Olifants CMA'!H96,E_budgeted!H82),'Limpopo-Olifants CMA'!H96)</f>
        <v>168537.66149999999</v>
      </c>
      <c r="I58" s="5">
        <f>IF(INDEX(E_budgeted!$B$3:$G$13,MATCH($A58,E_budgeted!$A$3:$A$13,0),MATCH($A$3,E_budgeted!$B$2:$G$2,0))&gt;0,MIN('Limpopo-Olifants CMA'!I96,E_budgeted!I82),'Limpopo-Olifants CMA'!I96)</f>
        <v>168537.66149999999</v>
      </c>
      <c r="J58" s="5">
        <f>IF(INDEX(E_budgeted!$B$3:$G$13,MATCH($A58,E_budgeted!$A$3:$A$13,0),MATCH($A$3,E_budgeted!$B$2:$G$2,0))&gt;0,MIN('Limpopo-Olifants CMA'!J96,E_budgeted!J82),'Limpopo-Olifants CMA'!J96)</f>
        <v>168537.66149999999</v>
      </c>
      <c r="K58" s="5">
        <f>IF(INDEX(E_budgeted!$B$3:$G$13,MATCH($A58,E_budgeted!$A$3:$A$13,0),MATCH($A$3,E_budgeted!$B$2:$G$2,0))&gt;0,MIN('Limpopo-Olifants CMA'!K96,E_budgeted!K82),'Limpopo-Olifants CMA'!K96)</f>
        <v>168537.66149999999</v>
      </c>
      <c r="L58" s="5">
        <f t="shared" si="26"/>
        <v>168537.66149999996</v>
      </c>
    </row>
    <row r="59" spans="1:12" x14ac:dyDescent="0.25">
      <c r="A59" s="4" t="s">
        <v>15</v>
      </c>
      <c r="B59" s="13">
        <f>IF(INDEX(E_budgeted!$B$3:$G$13,MATCH($A59,E_budgeted!$A$3:$A$13,0),MATCH($A$3,E_budgeted!$B$2:$G$2,0))&gt;0,MIN('Limpopo-Olifants CMA'!B97,E_budgeted!B83),'Limpopo-Olifants CMA'!B97)</f>
        <v>12342916.492803693</v>
      </c>
      <c r="C59" s="13">
        <f>IF(INDEX(E_budgeted!$B$3:$G$13,MATCH($A59,E_budgeted!$A$3:$A$13,0),MATCH($A$3,E_budgeted!$B$2:$G$2,0))&gt;0,MIN('Limpopo-Olifants CMA'!C97,E_budgeted!C83),'Limpopo-Olifants CMA'!C97)</f>
        <v>12342916.492803693</v>
      </c>
      <c r="D59" s="13">
        <f>IF(INDEX(E_budgeted!$B$3:$G$13,MATCH($A59,E_budgeted!$A$3:$A$13,0),MATCH($A$3,E_budgeted!$B$2:$G$2,0))&gt;0,MIN('Limpopo-Olifants CMA'!D97,E_budgeted!D83),'Limpopo-Olifants CMA'!D97)</f>
        <v>12342916.492803693</v>
      </c>
      <c r="E59" s="13">
        <f>IF(INDEX(E_budgeted!$B$3:$G$13,MATCH($A59,E_budgeted!$A$3:$A$13,0),MATCH($A$3,E_budgeted!$B$2:$G$2,0))&gt;0,MIN('Limpopo-Olifants CMA'!E97,E_budgeted!E83),'Limpopo-Olifants CMA'!E97)</f>
        <v>12342916.492803693</v>
      </c>
      <c r="F59" s="13">
        <f>IF(INDEX(E_budgeted!$B$3:$G$13,MATCH($A59,E_budgeted!$A$3:$A$13,0),MATCH($A$3,E_budgeted!$B$2:$G$2,0))&gt;0,MIN('Limpopo-Olifants CMA'!F97,E_budgeted!F83),'Limpopo-Olifants CMA'!F97)</f>
        <v>12342916.492803693</v>
      </c>
      <c r="G59" s="13">
        <f>IF(INDEX(E_budgeted!$B$3:$G$13,MATCH($A59,E_budgeted!$A$3:$A$13,0),MATCH($A$3,E_budgeted!$B$2:$G$2,0))&gt;0,MIN('Limpopo-Olifants CMA'!G97,E_budgeted!G83),'Limpopo-Olifants CMA'!G97)</f>
        <v>12342916.492803693</v>
      </c>
      <c r="H59" s="13">
        <f>IF(INDEX(E_budgeted!$B$3:$G$13,MATCH($A59,E_budgeted!$A$3:$A$13,0),MATCH($A$3,E_budgeted!$B$2:$G$2,0))&gt;0,MIN('Limpopo-Olifants CMA'!H97,E_budgeted!H83),'Limpopo-Olifants CMA'!H97)</f>
        <v>12342916.492803693</v>
      </c>
      <c r="I59" s="13">
        <f>IF(INDEX(E_budgeted!$B$3:$G$13,MATCH($A59,E_budgeted!$A$3:$A$13,0),MATCH($A$3,E_budgeted!$B$2:$G$2,0))&gt;0,MIN('Limpopo-Olifants CMA'!I97,E_budgeted!I83),'Limpopo-Olifants CMA'!I97)</f>
        <v>12342916.492803693</v>
      </c>
      <c r="J59" s="13">
        <f>IF(INDEX(E_budgeted!$B$3:$G$13,MATCH($A59,E_budgeted!$A$3:$A$13,0),MATCH($A$3,E_budgeted!$B$2:$G$2,0))&gt;0,MIN('Limpopo-Olifants CMA'!J97,E_budgeted!J83),'Limpopo-Olifants CMA'!J97)</f>
        <v>12342916.492803693</v>
      </c>
      <c r="K59" s="13">
        <f>IF(INDEX(E_budgeted!$B$3:$G$13,MATCH($A59,E_budgeted!$A$3:$A$13,0),MATCH($A$3,E_budgeted!$B$2:$G$2,0))&gt;0,MIN('Limpopo-Olifants CMA'!K97,E_budgeted!K83),'Limpopo-Olifants CMA'!K97)</f>
        <v>12342916.492803693</v>
      </c>
      <c r="L59" s="5">
        <f t="shared" si="26"/>
        <v>12342916.492803693</v>
      </c>
    </row>
    <row r="60" spans="1:12" x14ac:dyDescent="0.25">
      <c r="B60" s="5">
        <f>SUM(B49:B59)</f>
        <v>36921380.678860441</v>
      </c>
      <c r="C60" s="5">
        <f t="shared" ref="C60:K60" si="27">SUM(C49:C59)</f>
        <v>36921380.678860441</v>
      </c>
      <c r="D60" s="5">
        <f t="shared" si="27"/>
        <v>36921380.678860441</v>
      </c>
      <c r="E60" s="5">
        <f t="shared" si="27"/>
        <v>36921380.678860441</v>
      </c>
      <c r="F60" s="5">
        <f t="shared" si="27"/>
        <v>36921380.678860441</v>
      </c>
      <c r="G60" s="5">
        <f t="shared" si="27"/>
        <v>36921380.678860441</v>
      </c>
      <c r="H60" s="5">
        <f t="shared" si="27"/>
        <v>36921380.678860441</v>
      </c>
      <c r="I60" s="5">
        <f t="shared" si="27"/>
        <v>36921380.678860441</v>
      </c>
      <c r="J60" s="5">
        <f t="shared" si="27"/>
        <v>36921380.678860441</v>
      </c>
      <c r="K60" s="5">
        <f t="shared" si="27"/>
        <v>36921380.678860441</v>
      </c>
      <c r="L60" s="5"/>
    </row>
    <row r="61" spans="1:12" x14ac:dyDescent="0.25">
      <c r="B61" s="16">
        <f>B60/$B$17</f>
        <v>0.33029083431183892</v>
      </c>
    </row>
    <row r="62" spans="1:12" s="3" customFormat="1" x14ac:dyDescent="0.25">
      <c r="A62" s="2" t="s">
        <v>31</v>
      </c>
    </row>
    <row r="64" spans="1:12" x14ac:dyDescent="0.25">
      <c r="A64" s="1" t="s">
        <v>60</v>
      </c>
      <c r="B64" s="12" t="str">
        <f>'Summary dashboard'!C4</f>
        <v>2023</v>
      </c>
      <c r="C64" s="12">
        <f t="shared" ref="C64" si="28">B64+1</f>
        <v>2024</v>
      </c>
      <c r="D64" s="12">
        <f t="shared" ref="D64" si="29">C64+1</f>
        <v>2025</v>
      </c>
      <c r="E64" s="12">
        <f t="shared" ref="E64" si="30">D64+1</f>
        <v>2026</v>
      </c>
      <c r="F64" s="12">
        <f t="shared" ref="F64" si="31">E64+1</f>
        <v>2027</v>
      </c>
      <c r="G64" s="12">
        <f t="shared" ref="G64" si="32">F64+1</f>
        <v>2028</v>
      </c>
      <c r="H64" s="12">
        <f t="shared" ref="H64" si="33">G64+1</f>
        <v>2029</v>
      </c>
      <c r="I64" s="12">
        <f t="shared" ref="I64" si="34">H64+1</f>
        <v>2030</v>
      </c>
      <c r="J64" s="12">
        <f t="shared" ref="J64" si="35">I64+1</f>
        <v>2031</v>
      </c>
      <c r="K64" s="12">
        <f t="shared" ref="K64" si="36">J64+1</f>
        <v>2032</v>
      </c>
      <c r="L64" s="1" t="s">
        <v>28</v>
      </c>
    </row>
    <row r="65" spans="1:12" x14ac:dyDescent="0.25">
      <c r="A65" s="4" t="s">
        <v>35</v>
      </c>
      <c r="B65" s="32">
        <f>IF(INDEX(E_budgeted!$B$3:$G$13,MATCH($A65,E_budgeted!$A$3:$A$13,0),MATCH($A$62,E_budgeted!$B$2:$G$2,0))&gt;0,MIN('Inkomati-Pongola CMA'!B44,E_budgeted!B101),'Inkomati-Pongola CMA'!B44)</f>
        <v>7358726.8621938983</v>
      </c>
      <c r="C65" s="32">
        <f>IF(INDEX(E_budgeted!$B$3:$G$13,MATCH($A65,E_budgeted!$A$3:$A$13,0),MATCH($A$62,E_budgeted!$B$2:$G$2,0))&gt;0,MIN('Inkomati-Pongola CMA'!C44,E_budgeted!C101),'Inkomati-Pongola CMA'!C44)</f>
        <v>7358726.8621938983</v>
      </c>
      <c r="D65" s="32">
        <f>IF(INDEX(E_budgeted!$B$3:$G$13,MATCH($A65,E_budgeted!$A$3:$A$13,0),MATCH($A$62,E_budgeted!$B$2:$G$2,0))&gt;0,MIN('Inkomati-Pongola CMA'!D44,E_budgeted!D101),'Inkomati-Pongola CMA'!D44)</f>
        <v>7358726.8621938983</v>
      </c>
      <c r="E65" s="32">
        <f>IF(INDEX(E_budgeted!$B$3:$G$13,MATCH($A65,E_budgeted!$A$3:$A$13,0),MATCH($A$62,E_budgeted!$B$2:$G$2,0))&gt;0,MIN('Inkomati-Pongola CMA'!E44,E_budgeted!E101),'Inkomati-Pongola CMA'!E44)</f>
        <v>7358726.8621938983</v>
      </c>
      <c r="F65" s="32">
        <f>IF(INDEX(E_budgeted!$B$3:$G$13,MATCH($A65,E_budgeted!$A$3:$A$13,0),MATCH($A$62,E_budgeted!$B$2:$G$2,0))&gt;0,MIN('Inkomati-Pongola CMA'!F44,E_budgeted!F101),'Inkomati-Pongola CMA'!F44)</f>
        <v>7358726.8621938983</v>
      </c>
      <c r="G65" s="32">
        <f>IF(INDEX(E_budgeted!$B$3:$G$13,MATCH($A65,E_budgeted!$A$3:$A$13,0),MATCH($A$62,E_budgeted!$B$2:$G$2,0))&gt;0,MIN('Inkomati-Pongola CMA'!G44,E_budgeted!G101),'Inkomati-Pongola CMA'!G44)</f>
        <v>7358726.8621938983</v>
      </c>
      <c r="H65" s="32">
        <f>IF(INDEX(E_budgeted!$B$3:$G$13,MATCH($A65,E_budgeted!$A$3:$A$13,0),MATCH($A$62,E_budgeted!$B$2:$G$2,0))&gt;0,MIN('Inkomati-Pongola CMA'!H44,E_budgeted!H101),'Inkomati-Pongola CMA'!H44)</f>
        <v>7358726.8621938983</v>
      </c>
      <c r="I65" s="32">
        <f>IF(INDEX(E_budgeted!$B$3:$G$13,MATCH($A65,E_budgeted!$A$3:$A$13,0),MATCH($A$62,E_budgeted!$B$2:$G$2,0))&gt;0,MIN('Inkomati-Pongola CMA'!I44,E_budgeted!I101),'Inkomati-Pongola CMA'!I44)</f>
        <v>7358726.8621938983</v>
      </c>
      <c r="J65" s="32">
        <f>IF(INDEX(E_budgeted!$B$3:$G$13,MATCH($A65,E_budgeted!$A$3:$A$13,0),MATCH($A$62,E_budgeted!$B$2:$G$2,0))&gt;0,MIN('Inkomati-Pongola CMA'!J44,E_budgeted!J101),'Inkomati-Pongola CMA'!J44)</f>
        <v>7358726.8621938983</v>
      </c>
      <c r="K65" s="32">
        <f>IF(INDEX(E_budgeted!$B$3:$G$13,MATCH($A65,E_budgeted!$A$3:$A$13,0),MATCH($A$62,E_budgeted!$B$2:$G$2,0))&gt;0,MIN('Inkomati-Pongola CMA'!K44,E_budgeted!K101),'Inkomati-Pongola CMA'!K44)</f>
        <v>7358726.8621938983</v>
      </c>
      <c r="L65" s="5">
        <f t="shared" ref="L65:L75" si="37">AVERAGE(B65:K65)</f>
        <v>7358726.8621938992</v>
      </c>
    </row>
    <row r="66" spans="1:12" x14ac:dyDescent="0.25">
      <c r="A66" s="4" t="s">
        <v>36</v>
      </c>
      <c r="B66" s="32">
        <f>IF(INDEX(E_budgeted!$B$3:$G$13,MATCH($A66,E_budgeted!$A$3:$A$13,0),MATCH($A$62,E_budgeted!$B$2:$G$2,0))&gt;0,MIN('Inkomati-Pongola CMA'!B45,E_budgeted!B102),'Inkomati-Pongola CMA'!B45)</f>
        <v>4033932.0344927809</v>
      </c>
      <c r="C66" s="32">
        <f>IF(INDEX(E_budgeted!$B$3:$G$13,MATCH($A66,E_budgeted!$A$3:$A$13,0),MATCH($A$62,E_budgeted!$B$2:$G$2,0))&gt;0,MIN('Inkomati-Pongola CMA'!C45,E_budgeted!C102),'Inkomati-Pongola CMA'!C45)</f>
        <v>4033932.0344927809</v>
      </c>
      <c r="D66" s="32">
        <f>IF(INDEX(E_budgeted!$B$3:$G$13,MATCH($A66,E_budgeted!$A$3:$A$13,0),MATCH($A$62,E_budgeted!$B$2:$G$2,0))&gt;0,MIN('Inkomati-Pongola CMA'!D45,E_budgeted!D102),'Inkomati-Pongola CMA'!D45)</f>
        <v>4033932.0344927809</v>
      </c>
      <c r="E66" s="32">
        <f>IF(INDEX(E_budgeted!$B$3:$G$13,MATCH($A66,E_budgeted!$A$3:$A$13,0),MATCH($A$62,E_budgeted!$B$2:$G$2,0))&gt;0,MIN('Inkomati-Pongola CMA'!E45,E_budgeted!E102),'Inkomati-Pongola CMA'!E45)</f>
        <v>4033932.0344927809</v>
      </c>
      <c r="F66" s="32">
        <f>IF(INDEX(E_budgeted!$B$3:$G$13,MATCH($A66,E_budgeted!$A$3:$A$13,0),MATCH($A$62,E_budgeted!$B$2:$G$2,0))&gt;0,MIN('Inkomati-Pongola CMA'!F45,E_budgeted!F102),'Inkomati-Pongola CMA'!F45)</f>
        <v>4033932.0344927809</v>
      </c>
      <c r="G66" s="32">
        <f>IF(INDEX(E_budgeted!$B$3:$G$13,MATCH($A66,E_budgeted!$A$3:$A$13,0),MATCH($A$62,E_budgeted!$B$2:$G$2,0))&gt;0,MIN('Inkomati-Pongola CMA'!G45,E_budgeted!G102),'Inkomati-Pongola CMA'!G45)</f>
        <v>4033932.0344927809</v>
      </c>
      <c r="H66" s="32">
        <f>IF(INDEX(E_budgeted!$B$3:$G$13,MATCH($A66,E_budgeted!$A$3:$A$13,0),MATCH($A$62,E_budgeted!$B$2:$G$2,0))&gt;0,MIN('Inkomati-Pongola CMA'!H45,E_budgeted!H102),'Inkomati-Pongola CMA'!H45)</f>
        <v>4033932.0344927809</v>
      </c>
      <c r="I66" s="32">
        <f>IF(INDEX(E_budgeted!$B$3:$G$13,MATCH($A66,E_budgeted!$A$3:$A$13,0),MATCH($A$62,E_budgeted!$B$2:$G$2,0))&gt;0,MIN('Inkomati-Pongola CMA'!I45,E_budgeted!I102),'Inkomati-Pongola CMA'!I45)</f>
        <v>4033932.0344927809</v>
      </c>
      <c r="J66" s="32">
        <f>IF(INDEX(E_budgeted!$B$3:$G$13,MATCH($A66,E_budgeted!$A$3:$A$13,0),MATCH($A$62,E_budgeted!$B$2:$G$2,0))&gt;0,MIN('Inkomati-Pongola CMA'!J45,E_budgeted!J102),'Inkomati-Pongola CMA'!J45)</f>
        <v>4033932.0344927809</v>
      </c>
      <c r="K66" s="32">
        <f>IF(INDEX(E_budgeted!$B$3:$G$13,MATCH($A66,E_budgeted!$A$3:$A$13,0),MATCH($A$62,E_budgeted!$B$2:$G$2,0))&gt;0,MIN('Inkomati-Pongola CMA'!K45,E_budgeted!K102),'Inkomati-Pongola CMA'!K45)</f>
        <v>4033932.0344927809</v>
      </c>
      <c r="L66" s="5">
        <f t="shared" si="37"/>
        <v>4033932.0344927809</v>
      </c>
    </row>
    <row r="67" spans="1:12" x14ac:dyDescent="0.25">
      <c r="A67" s="4" t="s">
        <v>11</v>
      </c>
      <c r="B67" s="32">
        <f>IF(INDEX(E_budgeted!$B$3:$G$13,MATCH($A67,E_budgeted!$A$3:$A$13,0),MATCH($A$62,E_budgeted!$B$2:$G$2,0))&gt;0,MIN('Inkomati-Pongola CMA'!B46,E_budgeted!B103),'Inkomati-Pongola CMA'!B46)</f>
        <v>0</v>
      </c>
      <c r="C67" s="32">
        <f>IF(INDEX(E_budgeted!$B$3:$G$13,MATCH($A67,E_budgeted!$A$3:$A$13,0),MATCH($A$62,E_budgeted!$B$2:$G$2,0))&gt;0,MIN('Inkomati-Pongola CMA'!C46,E_budgeted!C103),'Inkomati-Pongola CMA'!C46)</f>
        <v>0</v>
      </c>
      <c r="D67" s="32">
        <f>IF(INDEX(E_budgeted!$B$3:$G$13,MATCH($A67,E_budgeted!$A$3:$A$13,0),MATCH($A$62,E_budgeted!$B$2:$G$2,0))&gt;0,MIN('Inkomati-Pongola CMA'!D46,E_budgeted!D103),'Inkomati-Pongola CMA'!D46)</f>
        <v>0</v>
      </c>
      <c r="E67" s="32">
        <f>IF(INDEX(E_budgeted!$B$3:$G$13,MATCH($A67,E_budgeted!$A$3:$A$13,0),MATCH($A$62,E_budgeted!$B$2:$G$2,0))&gt;0,MIN('Inkomati-Pongola CMA'!E46,E_budgeted!E103),'Inkomati-Pongola CMA'!E46)</f>
        <v>0</v>
      </c>
      <c r="F67" s="32">
        <f>IF(INDEX(E_budgeted!$B$3:$G$13,MATCH($A67,E_budgeted!$A$3:$A$13,0),MATCH($A$62,E_budgeted!$B$2:$G$2,0))&gt;0,MIN('Inkomati-Pongola CMA'!F46,E_budgeted!F103),'Inkomati-Pongola CMA'!F46)</f>
        <v>0</v>
      </c>
      <c r="G67" s="32">
        <f>IF(INDEX(E_budgeted!$B$3:$G$13,MATCH($A67,E_budgeted!$A$3:$A$13,0),MATCH($A$62,E_budgeted!$B$2:$G$2,0))&gt;0,MIN('Inkomati-Pongola CMA'!G46,E_budgeted!G103),'Inkomati-Pongola CMA'!G46)</f>
        <v>0</v>
      </c>
      <c r="H67" s="32">
        <f>IF(INDEX(E_budgeted!$B$3:$G$13,MATCH($A67,E_budgeted!$A$3:$A$13,0),MATCH($A$62,E_budgeted!$B$2:$G$2,0))&gt;0,MIN('Inkomati-Pongola CMA'!H46,E_budgeted!H103),'Inkomati-Pongola CMA'!H46)</f>
        <v>0</v>
      </c>
      <c r="I67" s="32">
        <f>IF(INDEX(E_budgeted!$B$3:$G$13,MATCH($A67,E_budgeted!$A$3:$A$13,0),MATCH($A$62,E_budgeted!$B$2:$G$2,0))&gt;0,MIN('Inkomati-Pongola CMA'!I46,E_budgeted!I103),'Inkomati-Pongola CMA'!I46)</f>
        <v>0</v>
      </c>
      <c r="J67" s="32">
        <f>IF(INDEX(E_budgeted!$B$3:$G$13,MATCH($A67,E_budgeted!$A$3:$A$13,0),MATCH($A$62,E_budgeted!$B$2:$G$2,0))&gt;0,MIN('Inkomati-Pongola CMA'!J46,E_budgeted!J103),'Inkomati-Pongola CMA'!J46)</f>
        <v>0</v>
      </c>
      <c r="K67" s="32">
        <f>IF(INDEX(E_budgeted!$B$3:$G$13,MATCH($A67,E_budgeted!$A$3:$A$13,0),MATCH($A$62,E_budgeted!$B$2:$G$2,0))&gt;0,MIN('Inkomati-Pongola CMA'!K46,E_budgeted!K103),'Inkomati-Pongola CMA'!K46)</f>
        <v>0</v>
      </c>
      <c r="L67" s="5">
        <f t="shared" si="37"/>
        <v>0</v>
      </c>
    </row>
    <row r="68" spans="1:12" x14ac:dyDescent="0.25">
      <c r="A68" s="4" t="s">
        <v>124</v>
      </c>
      <c r="B68" s="32">
        <f>IF(INDEX(E_budgeted!$B$3:$G$13,MATCH($A68,E_budgeted!$A$3:$A$13,0),MATCH($A$62,E_budgeted!$B$2:$G$2,0))&gt;0,MIN('Inkomati-Pongola CMA'!B47,E_budgeted!B104),'Inkomati-Pongola CMA'!B47)</f>
        <v>692403.82893741259</v>
      </c>
      <c r="C68" s="32">
        <f>IF(INDEX(E_budgeted!$B$3:$G$13,MATCH($A68,E_budgeted!$A$3:$A$13,0),MATCH($A$62,E_budgeted!$B$2:$G$2,0))&gt;0,MIN('Inkomati-Pongola CMA'!C47,E_budgeted!C104),'Inkomati-Pongola CMA'!C47)</f>
        <v>692403.82893741259</v>
      </c>
      <c r="D68" s="32">
        <f>IF(INDEX(E_budgeted!$B$3:$G$13,MATCH($A68,E_budgeted!$A$3:$A$13,0),MATCH($A$62,E_budgeted!$B$2:$G$2,0))&gt;0,MIN('Inkomati-Pongola CMA'!D47,E_budgeted!D104),'Inkomati-Pongola CMA'!D47)</f>
        <v>692403.82893741259</v>
      </c>
      <c r="E68" s="32">
        <f>IF(INDEX(E_budgeted!$B$3:$G$13,MATCH($A68,E_budgeted!$A$3:$A$13,0),MATCH($A$62,E_budgeted!$B$2:$G$2,0))&gt;0,MIN('Inkomati-Pongola CMA'!E47,E_budgeted!E104),'Inkomati-Pongola CMA'!E47)</f>
        <v>692403.82893741259</v>
      </c>
      <c r="F68" s="32">
        <f>IF(INDEX(E_budgeted!$B$3:$G$13,MATCH($A68,E_budgeted!$A$3:$A$13,0),MATCH($A$62,E_budgeted!$B$2:$G$2,0))&gt;0,MIN('Inkomati-Pongola CMA'!F47,E_budgeted!F104),'Inkomati-Pongola CMA'!F47)</f>
        <v>692403.82893741259</v>
      </c>
      <c r="G68" s="32">
        <f>IF(INDEX(E_budgeted!$B$3:$G$13,MATCH($A68,E_budgeted!$A$3:$A$13,0),MATCH($A$62,E_budgeted!$B$2:$G$2,0))&gt;0,MIN('Inkomati-Pongola CMA'!G47,E_budgeted!G104),'Inkomati-Pongola CMA'!G47)</f>
        <v>692403.82893741259</v>
      </c>
      <c r="H68" s="32">
        <f>IF(INDEX(E_budgeted!$B$3:$G$13,MATCH($A68,E_budgeted!$A$3:$A$13,0),MATCH($A$62,E_budgeted!$B$2:$G$2,0))&gt;0,MIN('Inkomati-Pongola CMA'!H47,E_budgeted!H104),'Inkomati-Pongola CMA'!H47)</f>
        <v>692403.82893741259</v>
      </c>
      <c r="I68" s="32">
        <f>IF(INDEX(E_budgeted!$B$3:$G$13,MATCH($A68,E_budgeted!$A$3:$A$13,0),MATCH($A$62,E_budgeted!$B$2:$G$2,0))&gt;0,MIN('Inkomati-Pongola CMA'!I47,E_budgeted!I104),'Inkomati-Pongola CMA'!I47)</f>
        <v>692403.82893741259</v>
      </c>
      <c r="J68" s="32">
        <f>IF(INDEX(E_budgeted!$B$3:$G$13,MATCH($A68,E_budgeted!$A$3:$A$13,0),MATCH($A$62,E_budgeted!$B$2:$G$2,0))&gt;0,MIN('Inkomati-Pongola CMA'!J47,E_budgeted!J104),'Inkomati-Pongola CMA'!J47)</f>
        <v>692403.82893741259</v>
      </c>
      <c r="K68" s="32">
        <f>IF(INDEX(E_budgeted!$B$3:$G$13,MATCH($A68,E_budgeted!$A$3:$A$13,0),MATCH($A$62,E_budgeted!$B$2:$G$2,0))&gt;0,MIN('Inkomati-Pongola CMA'!K47,E_budgeted!K104),'Inkomati-Pongola CMA'!K47)</f>
        <v>692403.82893741259</v>
      </c>
      <c r="L68" s="5">
        <f t="shared" si="37"/>
        <v>692403.82893741247</v>
      </c>
    </row>
    <row r="69" spans="1:12" x14ac:dyDescent="0.25">
      <c r="A69" s="4" t="s">
        <v>12</v>
      </c>
      <c r="B69" s="32">
        <f>IF(INDEX(E_budgeted!$B$3:$G$13,MATCH($A69,E_budgeted!$A$3:$A$13,0),MATCH($A$62,E_budgeted!$B$2:$G$2,0))&gt;0,MIN('Inkomati-Pongola CMA'!B48,E_budgeted!B105),'Inkomati-Pongola CMA'!B48)</f>
        <v>23197149.022037964</v>
      </c>
      <c r="C69" s="32">
        <f>IF(INDEX(E_budgeted!$B$3:$G$13,MATCH($A69,E_budgeted!$A$3:$A$13,0),MATCH($A$62,E_budgeted!$B$2:$G$2,0))&gt;0,MIN('Inkomati-Pongola CMA'!C48,E_budgeted!C105),'Inkomati-Pongola CMA'!C48)</f>
        <v>23197149.022037964</v>
      </c>
      <c r="D69" s="32">
        <f>IF(INDEX(E_budgeted!$B$3:$G$13,MATCH($A69,E_budgeted!$A$3:$A$13,0),MATCH($A$62,E_budgeted!$B$2:$G$2,0))&gt;0,MIN('Inkomati-Pongola CMA'!D48,E_budgeted!D105),'Inkomati-Pongola CMA'!D48)</f>
        <v>23197149.022037964</v>
      </c>
      <c r="E69" s="32">
        <f>IF(INDEX(E_budgeted!$B$3:$G$13,MATCH($A69,E_budgeted!$A$3:$A$13,0),MATCH($A$62,E_budgeted!$B$2:$G$2,0))&gt;0,MIN('Inkomati-Pongola CMA'!E48,E_budgeted!E105),'Inkomati-Pongola CMA'!E48)</f>
        <v>23197149.022037964</v>
      </c>
      <c r="F69" s="32">
        <f>IF(INDEX(E_budgeted!$B$3:$G$13,MATCH($A69,E_budgeted!$A$3:$A$13,0),MATCH($A$62,E_budgeted!$B$2:$G$2,0))&gt;0,MIN('Inkomati-Pongola CMA'!F48,E_budgeted!F105),'Inkomati-Pongola CMA'!F48)</f>
        <v>23197149.022037964</v>
      </c>
      <c r="G69" s="32">
        <f>IF(INDEX(E_budgeted!$B$3:$G$13,MATCH($A69,E_budgeted!$A$3:$A$13,0),MATCH($A$62,E_budgeted!$B$2:$G$2,0))&gt;0,MIN('Inkomati-Pongola CMA'!G48,E_budgeted!G105),'Inkomati-Pongola CMA'!G48)</f>
        <v>23197149.022037964</v>
      </c>
      <c r="H69" s="32">
        <f>IF(INDEX(E_budgeted!$B$3:$G$13,MATCH($A69,E_budgeted!$A$3:$A$13,0),MATCH($A$62,E_budgeted!$B$2:$G$2,0))&gt;0,MIN('Inkomati-Pongola CMA'!H48,E_budgeted!H105),'Inkomati-Pongola CMA'!H48)</f>
        <v>23197149.022037964</v>
      </c>
      <c r="I69" s="32">
        <f>IF(INDEX(E_budgeted!$B$3:$G$13,MATCH($A69,E_budgeted!$A$3:$A$13,0),MATCH($A$62,E_budgeted!$B$2:$G$2,0))&gt;0,MIN('Inkomati-Pongola CMA'!I48,E_budgeted!I105),'Inkomati-Pongola CMA'!I48)</f>
        <v>23197149.022037964</v>
      </c>
      <c r="J69" s="32">
        <f>IF(INDEX(E_budgeted!$B$3:$G$13,MATCH($A69,E_budgeted!$A$3:$A$13,0),MATCH($A$62,E_budgeted!$B$2:$G$2,0))&gt;0,MIN('Inkomati-Pongola CMA'!J48,E_budgeted!J105),'Inkomati-Pongola CMA'!J48)</f>
        <v>23197149.022037964</v>
      </c>
      <c r="K69" s="32">
        <f>IF(INDEX(E_budgeted!$B$3:$G$13,MATCH($A69,E_budgeted!$A$3:$A$13,0),MATCH($A$62,E_budgeted!$B$2:$G$2,0))&gt;0,MIN('Inkomati-Pongola CMA'!K48,E_budgeted!K105),'Inkomati-Pongola CMA'!K48)</f>
        <v>23197149.022037964</v>
      </c>
      <c r="L69" s="5">
        <f t="shared" si="37"/>
        <v>23197149.022037961</v>
      </c>
    </row>
    <row r="70" spans="1:12" x14ac:dyDescent="0.25">
      <c r="A70" s="4" t="s">
        <v>13</v>
      </c>
      <c r="B70" s="32">
        <f>IF(INDEX(E_budgeted!$B$3:$G$13,MATCH($A70,E_budgeted!$A$3:$A$13,0),MATCH($A$62,E_budgeted!$B$2:$G$2,0))&gt;0,MIN('Inkomati-Pongola CMA'!B49,E_budgeted!B106),'Inkomati-Pongola CMA'!B49)</f>
        <v>0</v>
      </c>
      <c r="C70" s="32">
        <f>IF(INDEX(E_budgeted!$B$3:$G$13,MATCH($A70,E_budgeted!$A$3:$A$13,0),MATCH($A$62,E_budgeted!$B$2:$G$2,0))&gt;0,MIN('Inkomati-Pongola CMA'!C49,E_budgeted!C106),'Inkomati-Pongola CMA'!C49)</f>
        <v>0</v>
      </c>
      <c r="D70" s="32">
        <f>IF(INDEX(E_budgeted!$B$3:$G$13,MATCH($A70,E_budgeted!$A$3:$A$13,0),MATCH($A$62,E_budgeted!$B$2:$G$2,0))&gt;0,MIN('Inkomati-Pongola CMA'!D49,E_budgeted!D106),'Inkomati-Pongola CMA'!D49)</f>
        <v>0</v>
      </c>
      <c r="E70" s="32">
        <f>IF(INDEX(E_budgeted!$B$3:$G$13,MATCH($A70,E_budgeted!$A$3:$A$13,0),MATCH($A$62,E_budgeted!$B$2:$G$2,0))&gt;0,MIN('Inkomati-Pongola CMA'!E49,E_budgeted!E106),'Inkomati-Pongola CMA'!E49)</f>
        <v>0</v>
      </c>
      <c r="F70" s="32">
        <f>IF(INDEX(E_budgeted!$B$3:$G$13,MATCH($A70,E_budgeted!$A$3:$A$13,0),MATCH($A$62,E_budgeted!$B$2:$G$2,0))&gt;0,MIN('Inkomati-Pongola CMA'!F49,E_budgeted!F106),'Inkomati-Pongola CMA'!F49)</f>
        <v>0</v>
      </c>
      <c r="G70" s="32">
        <f>IF(INDEX(E_budgeted!$B$3:$G$13,MATCH($A70,E_budgeted!$A$3:$A$13,0),MATCH($A$62,E_budgeted!$B$2:$G$2,0))&gt;0,MIN('Inkomati-Pongola CMA'!G49,E_budgeted!G106),'Inkomati-Pongola CMA'!G49)</f>
        <v>0</v>
      </c>
      <c r="H70" s="32">
        <f>IF(INDEX(E_budgeted!$B$3:$G$13,MATCH($A70,E_budgeted!$A$3:$A$13,0),MATCH($A$62,E_budgeted!$B$2:$G$2,0))&gt;0,MIN('Inkomati-Pongola CMA'!H49,E_budgeted!H106),'Inkomati-Pongola CMA'!H49)</f>
        <v>0</v>
      </c>
      <c r="I70" s="32">
        <f>IF(INDEX(E_budgeted!$B$3:$G$13,MATCH($A70,E_budgeted!$A$3:$A$13,0),MATCH($A$62,E_budgeted!$B$2:$G$2,0))&gt;0,MIN('Inkomati-Pongola CMA'!I49,E_budgeted!I106),'Inkomati-Pongola CMA'!I49)</f>
        <v>0</v>
      </c>
      <c r="J70" s="32">
        <f>IF(INDEX(E_budgeted!$B$3:$G$13,MATCH($A70,E_budgeted!$A$3:$A$13,0),MATCH($A$62,E_budgeted!$B$2:$G$2,0))&gt;0,MIN('Inkomati-Pongola CMA'!J49,E_budgeted!J106),'Inkomati-Pongola CMA'!J49)</f>
        <v>0</v>
      </c>
      <c r="K70" s="32">
        <f>IF(INDEX(E_budgeted!$B$3:$G$13,MATCH($A70,E_budgeted!$A$3:$A$13,0),MATCH($A$62,E_budgeted!$B$2:$G$2,0))&gt;0,MIN('Inkomati-Pongola CMA'!K49,E_budgeted!K106),'Inkomati-Pongola CMA'!K49)</f>
        <v>0</v>
      </c>
      <c r="L70" s="5">
        <f t="shared" si="37"/>
        <v>0</v>
      </c>
    </row>
    <row r="71" spans="1:12" x14ac:dyDescent="0.25">
      <c r="A71" s="4" t="s">
        <v>14</v>
      </c>
      <c r="B71" s="32">
        <f>IF(INDEX(E_budgeted!$B$3:$G$13,MATCH($A71,E_budgeted!$A$3:$A$13,0),MATCH($A$62,E_budgeted!$B$2:$G$2,0))&gt;0,MIN('Inkomati-Pongola CMA'!B50,E_budgeted!B107),'Inkomati-Pongola CMA'!B50)</f>
        <v>0</v>
      </c>
      <c r="C71" s="32">
        <f>IF(INDEX(E_budgeted!$B$3:$G$13,MATCH($A71,E_budgeted!$A$3:$A$13,0),MATCH($A$62,E_budgeted!$B$2:$G$2,0))&gt;0,MIN('Inkomati-Pongola CMA'!C50,E_budgeted!C107),'Inkomati-Pongola CMA'!C50)</f>
        <v>0</v>
      </c>
      <c r="D71" s="32">
        <f>IF(INDEX(E_budgeted!$B$3:$G$13,MATCH($A71,E_budgeted!$A$3:$A$13,0),MATCH($A$62,E_budgeted!$B$2:$G$2,0))&gt;0,MIN('Inkomati-Pongola CMA'!D50,E_budgeted!D107),'Inkomati-Pongola CMA'!D50)</f>
        <v>0</v>
      </c>
      <c r="E71" s="32">
        <f>IF(INDEX(E_budgeted!$B$3:$G$13,MATCH($A71,E_budgeted!$A$3:$A$13,0),MATCH($A$62,E_budgeted!$B$2:$G$2,0))&gt;0,MIN('Inkomati-Pongola CMA'!E50,E_budgeted!E107),'Inkomati-Pongola CMA'!E50)</f>
        <v>0</v>
      </c>
      <c r="F71" s="32">
        <f>IF(INDEX(E_budgeted!$B$3:$G$13,MATCH($A71,E_budgeted!$A$3:$A$13,0),MATCH($A$62,E_budgeted!$B$2:$G$2,0))&gt;0,MIN('Inkomati-Pongola CMA'!F50,E_budgeted!F107),'Inkomati-Pongola CMA'!F50)</f>
        <v>0</v>
      </c>
      <c r="G71" s="32">
        <f>IF(INDEX(E_budgeted!$B$3:$G$13,MATCH($A71,E_budgeted!$A$3:$A$13,0),MATCH($A$62,E_budgeted!$B$2:$G$2,0))&gt;0,MIN('Inkomati-Pongola CMA'!G50,E_budgeted!G107),'Inkomati-Pongola CMA'!G50)</f>
        <v>0</v>
      </c>
      <c r="H71" s="32">
        <f>IF(INDEX(E_budgeted!$B$3:$G$13,MATCH($A71,E_budgeted!$A$3:$A$13,0),MATCH($A$62,E_budgeted!$B$2:$G$2,0))&gt;0,MIN('Inkomati-Pongola CMA'!H50,E_budgeted!H107),'Inkomati-Pongola CMA'!H50)</f>
        <v>0</v>
      </c>
      <c r="I71" s="32">
        <f>IF(INDEX(E_budgeted!$B$3:$G$13,MATCH($A71,E_budgeted!$A$3:$A$13,0),MATCH($A$62,E_budgeted!$B$2:$G$2,0))&gt;0,MIN('Inkomati-Pongola CMA'!I50,E_budgeted!I107),'Inkomati-Pongola CMA'!I50)</f>
        <v>0</v>
      </c>
      <c r="J71" s="32">
        <f>IF(INDEX(E_budgeted!$B$3:$G$13,MATCH($A71,E_budgeted!$A$3:$A$13,0),MATCH($A$62,E_budgeted!$B$2:$G$2,0))&gt;0,MIN('Inkomati-Pongola CMA'!J50,E_budgeted!J107),'Inkomati-Pongola CMA'!J50)</f>
        <v>0</v>
      </c>
      <c r="K71" s="32">
        <f>IF(INDEX(E_budgeted!$B$3:$G$13,MATCH($A71,E_budgeted!$A$3:$A$13,0),MATCH($A$62,E_budgeted!$B$2:$G$2,0))&gt;0,MIN('Inkomati-Pongola CMA'!K50,E_budgeted!K107),'Inkomati-Pongola CMA'!K50)</f>
        <v>0</v>
      </c>
      <c r="L71" s="5">
        <f t="shared" si="37"/>
        <v>0</v>
      </c>
    </row>
    <row r="72" spans="1:12" x14ac:dyDescent="0.25">
      <c r="A72" s="4" t="s">
        <v>125</v>
      </c>
      <c r="B72" s="32">
        <f>IF(INDEX(E_budgeted!$B$3:$G$13,MATCH($A72,E_budgeted!$A$3:$A$13,0),MATCH($A$62,E_budgeted!$B$2:$G$2,0))&gt;0,MIN('Inkomati-Pongola CMA'!B51,E_budgeted!B108),'Inkomati-Pongola CMA'!B51)</f>
        <v>767170.00016070635</v>
      </c>
      <c r="C72" s="32">
        <f>IF(INDEX(E_budgeted!$B$3:$G$13,MATCH($A72,E_budgeted!$A$3:$A$13,0),MATCH($A$62,E_budgeted!$B$2:$G$2,0))&gt;0,MIN('Inkomati-Pongola CMA'!C51,E_budgeted!C108),'Inkomati-Pongola CMA'!C51)</f>
        <v>767170.00016070635</v>
      </c>
      <c r="D72" s="32">
        <f>IF(INDEX(E_budgeted!$B$3:$G$13,MATCH($A72,E_budgeted!$A$3:$A$13,0),MATCH($A$62,E_budgeted!$B$2:$G$2,0))&gt;0,MIN('Inkomati-Pongola CMA'!D51,E_budgeted!D108),'Inkomati-Pongola CMA'!D51)</f>
        <v>767170.00016070635</v>
      </c>
      <c r="E72" s="32">
        <f>IF(INDEX(E_budgeted!$B$3:$G$13,MATCH($A72,E_budgeted!$A$3:$A$13,0),MATCH($A$62,E_budgeted!$B$2:$G$2,0))&gt;0,MIN('Inkomati-Pongola CMA'!E51,E_budgeted!E108),'Inkomati-Pongola CMA'!E51)</f>
        <v>767170.00016070635</v>
      </c>
      <c r="F72" s="32">
        <f>IF(INDEX(E_budgeted!$B$3:$G$13,MATCH($A72,E_budgeted!$A$3:$A$13,0),MATCH($A$62,E_budgeted!$B$2:$G$2,0))&gt;0,MIN('Inkomati-Pongola CMA'!F51,E_budgeted!F108),'Inkomati-Pongola CMA'!F51)</f>
        <v>767170.00016070635</v>
      </c>
      <c r="G72" s="32">
        <f>IF(INDEX(E_budgeted!$B$3:$G$13,MATCH($A72,E_budgeted!$A$3:$A$13,0),MATCH($A$62,E_budgeted!$B$2:$G$2,0))&gt;0,MIN('Inkomati-Pongola CMA'!G51,E_budgeted!G108),'Inkomati-Pongola CMA'!G51)</f>
        <v>767170.00016070635</v>
      </c>
      <c r="H72" s="32">
        <f>IF(INDEX(E_budgeted!$B$3:$G$13,MATCH($A72,E_budgeted!$A$3:$A$13,0),MATCH($A$62,E_budgeted!$B$2:$G$2,0))&gt;0,MIN('Inkomati-Pongola CMA'!H51,E_budgeted!H108),'Inkomati-Pongola CMA'!H51)</f>
        <v>767170.00016070635</v>
      </c>
      <c r="I72" s="32">
        <f>IF(INDEX(E_budgeted!$B$3:$G$13,MATCH($A72,E_budgeted!$A$3:$A$13,0),MATCH($A$62,E_budgeted!$B$2:$G$2,0))&gt;0,MIN('Inkomati-Pongola CMA'!I51,E_budgeted!I108),'Inkomati-Pongola CMA'!I51)</f>
        <v>767170.00016070635</v>
      </c>
      <c r="J72" s="32">
        <f>IF(INDEX(E_budgeted!$B$3:$G$13,MATCH($A72,E_budgeted!$A$3:$A$13,0),MATCH($A$62,E_budgeted!$B$2:$G$2,0))&gt;0,MIN('Inkomati-Pongola CMA'!J51,E_budgeted!J108),'Inkomati-Pongola CMA'!J51)</f>
        <v>767170.00016070635</v>
      </c>
      <c r="K72" s="32">
        <f>IF(INDEX(E_budgeted!$B$3:$G$13,MATCH($A72,E_budgeted!$A$3:$A$13,0),MATCH($A$62,E_budgeted!$B$2:$G$2,0))&gt;0,MIN('Inkomati-Pongola CMA'!K51,E_budgeted!K108),'Inkomati-Pongola CMA'!K51)</f>
        <v>767170.00016070635</v>
      </c>
      <c r="L72" s="5">
        <f t="shared" si="37"/>
        <v>767170.00016070635</v>
      </c>
    </row>
    <row r="73" spans="1:12" x14ac:dyDescent="0.25">
      <c r="A73" s="4" t="s">
        <v>37</v>
      </c>
      <c r="B73" s="32">
        <f>IF(INDEX(E_budgeted!$B$3:$G$13,MATCH($A73,E_budgeted!$A$3:$A$13,0),MATCH($A$62,E_budgeted!$B$2:$G$2,0))&gt;0,MIN('Inkomati-Pongola CMA'!B52,E_budgeted!B109),'Inkomati-Pongola CMA'!B52)</f>
        <v>22314962.56192081</v>
      </c>
      <c r="C73" s="32">
        <f>IF(INDEX(E_budgeted!$B$3:$G$13,MATCH($A73,E_budgeted!$A$3:$A$13,0),MATCH($A$62,E_budgeted!$B$2:$G$2,0))&gt;0,MIN('Inkomati-Pongola CMA'!C52,E_budgeted!C109),'Inkomati-Pongola CMA'!C52)</f>
        <v>22314962.56192081</v>
      </c>
      <c r="D73" s="32">
        <f>IF(INDEX(E_budgeted!$B$3:$G$13,MATCH($A73,E_budgeted!$A$3:$A$13,0),MATCH($A$62,E_budgeted!$B$2:$G$2,0))&gt;0,MIN('Inkomati-Pongola CMA'!D52,E_budgeted!D109),'Inkomati-Pongola CMA'!D52)</f>
        <v>22314962.56192081</v>
      </c>
      <c r="E73" s="32">
        <f>IF(INDEX(E_budgeted!$B$3:$G$13,MATCH($A73,E_budgeted!$A$3:$A$13,0),MATCH($A$62,E_budgeted!$B$2:$G$2,0))&gt;0,MIN('Inkomati-Pongola CMA'!E52,E_budgeted!E109),'Inkomati-Pongola CMA'!E52)</f>
        <v>22314962.56192081</v>
      </c>
      <c r="F73" s="32">
        <f>IF(INDEX(E_budgeted!$B$3:$G$13,MATCH($A73,E_budgeted!$A$3:$A$13,0),MATCH($A$62,E_budgeted!$B$2:$G$2,0))&gt;0,MIN('Inkomati-Pongola CMA'!F52,E_budgeted!F109),'Inkomati-Pongola CMA'!F52)</f>
        <v>22314962.56192081</v>
      </c>
      <c r="G73" s="32">
        <f>IF(INDEX(E_budgeted!$B$3:$G$13,MATCH($A73,E_budgeted!$A$3:$A$13,0),MATCH($A$62,E_budgeted!$B$2:$G$2,0))&gt;0,MIN('Inkomati-Pongola CMA'!G52,E_budgeted!G109),'Inkomati-Pongola CMA'!G52)</f>
        <v>22314962.56192081</v>
      </c>
      <c r="H73" s="32">
        <f>IF(INDEX(E_budgeted!$B$3:$G$13,MATCH($A73,E_budgeted!$A$3:$A$13,0),MATCH($A$62,E_budgeted!$B$2:$G$2,0))&gt;0,MIN('Inkomati-Pongola CMA'!H52,E_budgeted!H109),'Inkomati-Pongola CMA'!H52)</f>
        <v>22314962.56192081</v>
      </c>
      <c r="I73" s="32">
        <f>IF(INDEX(E_budgeted!$B$3:$G$13,MATCH($A73,E_budgeted!$A$3:$A$13,0),MATCH($A$62,E_budgeted!$B$2:$G$2,0))&gt;0,MIN('Inkomati-Pongola CMA'!I52,E_budgeted!I109),'Inkomati-Pongola CMA'!I52)</f>
        <v>22314962.56192081</v>
      </c>
      <c r="J73" s="32">
        <f>IF(INDEX(E_budgeted!$B$3:$G$13,MATCH($A73,E_budgeted!$A$3:$A$13,0),MATCH($A$62,E_budgeted!$B$2:$G$2,0))&gt;0,MIN('Inkomati-Pongola CMA'!J52,E_budgeted!J109),'Inkomati-Pongola CMA'!J52)</f>
        <v>22314962.56192081</v>
      </c>
      <c r="K73" s="32">
        <f>IF(INDEX(E_budgeted!$B$3:$G$13,MATCH($A73,E_budgeted!$A$3:$A$13,0),MATCH($A$62,E_budgeted!$B$2:$G$2,0))&gt;0,MIN('Inkomati-Pongola CMA'!K52,E_budgeted!K109),'Inkomati-Pongola CMA'!K52)</f>
        <v>22314962.56192081</v>
      </c>
      <c r="L73" s="5">
        <f t="shared" si="37"/>
        <v>22314962.561920814</v>
      </c>
    </row>
    <row r="74" spans="1:12" x14ac:dyDescent="0.25">
      <c r="A74" s="4" t="s">
        <v>38</v>
      </c>
      <c r="B74" s="32">
        <f>IF(INDEX(E_budgeted!$B$3:$G$13,MATCH($A74,E_budgeted!$A$3:$A$13,0),MATCH($A$62,E_budgeted!$B$2:$G$2,0))&gt;0,MIN('Inkomati-Pongola CMA'!B53,E_budgeted!B110),'Inkomati-Pongola CMA'!B53)</f>
        <v>2991372.606219403</v>
      </c>
      <c r="C74" s="32">
        <f>IF(INDEX(E_budgeted!$B$3:$G$13,MATCH($A74,E_budgeted!$A$3:$A$13,0),MATCH($A$62,E_budgeted!$B$2:$G$2,0))&gt;0,MIN('Inkomati-Pongola CMA'!C53,E_budgeted!C110),'Inkomati-Pongola CMA'!C53)</f>
        <v>2991372.606219403</v>
      </c>
      <c r="D74" s="32">
        <f>IF(INDEX(E_budgeted!$B$3:$G$13,MATCH($A74,E_budgeted!$A$3:$A$13,0),MATCH($A$62,E_budgeted!$B$2:$G$2,0))&gt;0,MIN('Inkomati-Pongola CMA'!D53,E_budgeted!D110),'Inkomati-Pongola CMA'!D53)</f>
        <v>2991372.606219403</v>
      </c>
      <c r="E74" s="32">
        <f>IF(INDEX(E_budgeted!$B$3:$G$13,MATCH($A74,E_budgeted!$A$3:$A$13,0),MATCH($A$62,E_budgeted!$B$2:$G$2,0))&gt;0,MIN('Inkomati-Pongola CMA'!E53,E_budgeted!E110),'Inkomati-Pongola CMA'!E53)</f>
        <v>2991372.606219403</v>
      </c>
      <c r="F74" s="32">
        <f>IF(INDEX(E_budgeted!$B$3:$G$13,MATCH($A74,E_budgeted!$A$3:$A$13,0),MATCH($A$62,E_budgeted!$B$2:$G$2,0))&gt;0,MIN('Inkomati-Pongola CMA'!F53,E_budgeted!F110),'Inkomati-Pongola CMA'!F53)</f>
        <v>2991372.606219403</v>
      </c>
      <c r="G74" s="32">
        <f>IF(INDEX(E_budgeted!$B$3:$G$13,MATCH($A74,E_budgeted!$A$3:$A$13,0),MATCH($A$62,E_budgeted!$B$2:$G$2,0))&gt;0,MIN('Inkomati-Pongola CMA'!G53,E_budgeted!G110),'Inkomati-Pongola CMA'!G53)</f>
        <v>2991372.606219403</v>
      </c>
      <c r="H74" s="32">
        <f>IF(INDEX(E_budgeted!$B$3:$G$13,MATCH($A74,E_budgeted!$A$3:$A$13,0),MATCH($A$62,E_budgeted!$B$2:$G$2,0))&gt;0,MIN('Inkomati-Pongola CMA'!H53,E_budgeted!H110),'Inkomati-Pongola CMA'!H53)</f>
        <v>2991372.606219403</v>
      </c>
      <c r="I74" s="32">
        <f>IF(INDEX(E_budgeted!$B$3:$G$13,MATCH($A74,E_budgeted!$A$3:$A$13,0),MATCH($A$62,E_budgeted!$B$2:$G$2,0))&gt;0,MIN('Inkomati-Pongola CMA'!I53,E_budgeted!I110),'Inkomati-Pongola CMA'!I53)</f>
        <v>2991372.606219403</v>
      </c>
      <c r="J74" s="32">
        <f>IF(INDEX(E_budgeted!$B$3:$G$13,MATCH($A74,E_budgeted!$A$3:$A$13,0),MATCH($A$62,E_budgeted!$B$2:$G$2,0))&gt;0,MIN('Inkomati-Pongola CMA'!J53,E_budgeted!J110),'Inkomati-Pongola CMA'!J53)</f>
        <v>2991372.606219403</v>
      </c>
      <c r="K74" s="32">
        <f>IF(INDEX(E_budgeted!$B$3:$G$13,MATCH($A74,E_budgeted!$A$3:$A$13,0),MATCH($A$62,E_budgeted!$B$2:$G$2,0))&gt;0,MIN('Inkomati-Pongola CMA'!K53,E_budgeted!K110),'Inkomati-Pongola CMA'!K53)</f>
        <v>2991372.606219403</v>
      </c>
      <c r="L74" s="5">
        <f t="shared" si="37"/>
        <v>2991372.606219403</v>
      </c>
    </row>
    <row r="75" spans="1:12" x14ac:dyDescent="0.25">
      <c r="A75" s="4" t="s">
        <v>15</v>
      </c>
      <c r="B75" s="13">
        <f>IF(INDEX(E_budgeted!$B$3:$G$13,MATCH($A75,E_budgeted!$A$3:$A$13,0),MATCH($A$62,E_budgeted!$B$2:$G$2,0))&gt;0,MIN('Inkomati-Pongola CMA'!B54,E_budgeted!B111),'Inkomati-Pongola CMA'!B54)</f>
        <v>25880903.857711378</v>
      </c>
      <c r="C75" s="13">
        <f>IF(INDEX(E_budgeted!$B$3:$G$13,MATCH($A75,E_budgeted!$A$3:$A$13,0),MATCH($A$62,E_budgeted!$B$2:$G$2,0))&gt;0,MIN('Inkomati-Pongola CMA'!C54,E_budgeted!C111),'Inkomati-Pongola CMA'!C54)</f>
        <v>25880903.857711378</v>
      </c>
      <c r="D75" s="13">
        <f>IF(INDEX(E_budgeted!$B$3:$G$13,MATCH($A75,E_budgeted!$A$3:$A$13,0),MATCH($A$62,E_budgeted!$B$2:$G$2,0))&gt;0,MIN('Inkomati-Pongola CMA'!D54,E_budgeted!D111),'Inkomati-Pongola CMA'!D54)</f>
        <v>25880903.857711378</v>
      </c>
      <c r="E75" s="13">
        <f>IF(INDEX(E_budgeted!$B$3:$G$13,MATCH($A75,E_budgeted!$A$3:$A$13,0),MATCH($A$62,E_budgeted!$B$2:$G$2,0))&gt;0,MIN('Inkomati-Pongola CMA'!E54,E_budgeted!E111),'Inkomati-Pongola CMA'!E54)</f>
        <v>25880903.857711378</v>
      </c>
      <c r="F75" s="13">
        <f>IF(INDEX(E_budgeted!$B$3:$G$13,MATCH($A75,E_budgeted!$A$3:$A$13,0),MATCH($A$62,E_budgeted!$B$2:$G$2,0))&gt;0,MIN('Inkomati-Pongola CMA'!F54,E_budgeted!F111),'Inkomati-Pongola CMA'!F54)</f>
        <v>25880903.857711378</v>
      </c>
      <c r="G75" s="13">
        <f>IF(INDEX(E_budgeted!$B$3:$G$13,MATCH($A75,E_budgeted!$A$3:$A$13,0),MATCH($A$62,E_budgeted!$B$2:$G$2,0))&gt;0,MIN('Inkomati-Pongola CMA'!G54,E_budgeted!G111),'Inkomati-Pongola CMA'!G54)</f>
        <v>25880903.857711378</v>
      </c>
      <c r="H75" s="13">
        <f>IF(INDEX(E_budgeted!$B$3:$G$13,MATCH($A75,E_budgeted!$A$3:$A$13,0),MATCH($A$62,E_budgeted!$B$2:$G$2,0))&gt;0,MIN('Inkomati-Pongola CMA'!H54,E_budgeted!H111),'Inkomati-Pongola CMA'!H54)</f>
        <v>25880903.857711378</v>
      </c>
      <c r="I75" s="13">
        <f>IF(INDEX(E_budgeted!$B$3:$G$13,MATCH($A75,E_budgeted!$A$3:$A$13,0),MATCH($A$62,E_budgeted!$B$2:$G$2,0))&gt;0,MIN('Inkomati-Pongola CMA'!I54,E_budgeted!I111),'Inkomati-Pongola CMA'!I54)</f>
        <v>25880903.857711378</v>
      </c>
      <c r="J75" s="13">
        <f>IF(INDEX(E_budgeted!$B$3:$G$13,MATCH($A75,E_budgeted!$A$3:$A$13,0),MATCH($A$62,E_budgeted!$B$2:$G$2,0))&gt;0,MIN('Inkomati-Pongola CMA'!J54,E_budgeted!J111),'Inkomati-Pongola CMA'!J54)</f>
        <v>25880903.857711378</v>
      </c>
      <c r="K75" s="13">
        <f>IF(INDEX(E_budgeted!$B$3:$G$13,MATCH($A75,E_budgeted!$A$3:$A$13,0),MATCH($A$62,E_budgeted!$B$2:$G$2,0))&gt;0,MIN('Inkomati-Pongola CMA'!K54,E_budgeted!K111),'Inkomati-Pongola CMA'!K54)</f>
        <v>25880903.857711378</v>
      </c>
      <c r="L75" s="5">
        <f t="shared" si="37"/>
        <v>25880903.857711378</v>
      </c>
    </row>
    <row r="76" spans="1:12" x14ac:dyDescent="0.25">
      <c r="B76" s="5">
        <f t="shared" ref="B76:K76" si="38">SUM(B65:B75)</f>
        <v>87236620.773674354</v>
      </c>
      <c r="C76" s="5">
        <f t="shared" si="38"/>
        <v>87236620.773674354</v>
      </c>
      <c r="D76" s="5">
        <f t="shared" si="38"/>
        <v>87236620.773674354</v>
      </c>
      <c r="E76" s="5">
        <f t="shared" si="38"/>
        <v>87236620.773674354</v>
      </c>
      <c r="F76" s="5">
        <f t="shared" si="38"/>
        <v>87236620.773674354</v>
      </c>
      <c r="G76" s="5">
        <f t="shared" si="38"/>
        <v>87236620.773674354</v>
      </c>
      <c r="H76" s="5">
        <f t="shared" si="38"/>
        <v>87236620.773674354</v>
      </c>
      <c r="I76" s="5">
        <f t="shared" si="38"/>
        <v>87236620.773674354</v>
      </c>
      <c r="J76" s="5">
        <f t="shared" si="38"/>
        <v>87236620.773674354</v>
      </c>
      <c r="K76" s="5">
        <f t="shared" si="38"/>
        <v>87236620.773674354</v>
      </c>
      <c r="L76" s="5"/>
    </row>
    <row r="78" spans="1:12" ht="30" x14ac:dyDescent="0.25">
      <c r="A78" s="15" t="s">
        <v>56</v>
      </c>
      <c r="B78" s="12" t="str">
        <f>'Summary dashboard'!C4</f>
        <v>2023</v>
      </c>
      <c r="C78" s="12">
        <f t="shared" ref="C78" si="39">B78+1</f>
        <v>2024</v>
      </c>
      <c r="D78" s="12">
        <f t="shared" ref="D78" si="40">C78+1</f>
        <v>2025</v>
      </c>
      <c r="E78" s="12">
        <f t="shared" ref="E78" si="41">D78+1</f>
        <v>2026</v>
      </c>
      <c r="F78" s="12">
        <f t="shared" ref="F78" si="42">E78+1</f>
        <v>2027</v>
      </c>
      <c r="G78" s="12">
        <f t="shared" ref="G78" si="43">F78+1</f>
        <v>2028</v>
      </c>
      <c r="H78" s="12">
        <f t="shared" ref="H78" si="44">G78+1</f>
        <v>2029</v>
      </c>
      <c r="I78" s="12">
        <f t="shared" ref="I78" si="45">H78+1</f>
        <v>2030</v>
      </c>
      <c r="J78" s="12">
        <f t="shared" ref="J78" si="46">I78+1</f>
        <v>2031</v>
      </c>
      <c r="K78" s="12">
        <f t="shared" ref="K78" si="47">J78+1</f>
        <v>2032</v>
      </c>
      <c r="L78" s="1" t="s">
        <v>28</v>
      </c>
    </row>
    <row r="79" spans="1:12" x14ac:dyDescent="0.25">
      <c r="A79" s="4" t="s">
        <v>35</v>
      </c>
      <c r="B79" s="32">
        <f>IF(INDEX(E_budgeted!$B$3:$G$13,MATCH($A79,E_budgeted!$A$3:$A$13,0),MATCH($A$62,E_budgeted!$B$2:$G$2,0))&gt;0,MIN('Inkomati-Pongola CMA'!B58,E_budgeted!B115),'Inkomati-Pongola CMA'!B58)</f>
        <v>5666219.6838893015</v>
      </c>
      <c r="C79" s="32">
        <f>IF(INDEX(E_budgeted!$B$3:$G$13,MATCH($A79,E_budgeted!$A$3:$A$13,0),MATCH($A$62,E_budgeted!$B$2:$G$2,0))&gt;0,MIN('Inkomati-Pongola CMA'!C58,E_budgeted!C115),'Inkomati-Pongola CMA'!C58)</f>
        <v>5666219.6838893015</v>
      </c>
      <c r="D79" s="32">
        <f>IF(INDEX(E_budgeted!$B$3:$G$13,MATCH($A79,E_budgeted!$A$3:$A$13,0),MATCH($A$62,E_budgeted!$B$2:$G$2,0))&gt;0,MIN('Inkomati-Pongola CMA'!D58,E_budgeted!D115),'Inkomati-Pongola CMA'!D58)</f>
        <v>5666219.6838893015</v>
      </c>
      <c r="E79" s="32">
        <f>IF(INDEX(E_budgeted!$B$3:$G$13,MATCH($A79,E_budgeted!$A$3:$A$13,0),MATCH($A$62,E_budgeted!$B$2:$G$2,0))&gt;0,MIN('Inkomati-Pongola CMA'!E58,E_budgeted!E115),'Inkomati-Pongola CMA'!E58)</f>
        <v>5666219.6838893015</v>
      </c>
      <c r="F79" s="32">
        <f>IF(INDEX(E_budgeted!$B$3:$G$13,MATCH($A79,E_budgeted!$A$3:$A$13,0),MATCH($A$62,E_budgeted!$B$2:$G$2,0))&gt;0,MIN('Inkomati-Pongola CMA'!F58,E_budgeted!F115),'Inkomati-Pongola CMA'!F58)</f>
        <v>5666219.6838893015</v>
      </c>
      <c r="G79" s="32">
        <f>IF(INDEX(E_budgeted!$B$3:$G$13,MATCH($A79,E_budgeted!$A$3:$A$13,0),MATCH($A$62,E_budgeted!$B$2:$G$2,0))&gt;0,MIN('Inkomati-Pongola CMA'!G58,E_budgeted!G115),'Inkomati-Pongola CMA'!G58)</f>
        <v>5666219.6838893015</v>
      </c>
      <c r="H79" s="32">
        <f>IF(INDEX(E_budgeted!$B$3:$G$13,MATCH($A79,E_budgeted!$A$3:$A$13,0),MATCH($A$62,E_budgeted!$B$2:$G$2,0))&gt;0,MIN('Inkomati-Pongola CMA'!H58,E_budgeted!H115),'Inkomati-Pongola CMA'!H58)</f>
        <v>5666219.6838893015</v>
      </c>
      <c r="I79" s="32">
        <f>IF(INDEX(E_budgeted!$B$3:$G$13,MATCH($A79,E_budgeted!$A$3:$A$13,0),MATCH($A$62,E_budgeted!$B$2:$G$2,0))&gt;0,MIN('Inkomati-Pongola CMA'!I58,E_budgeted!I115),'Inkomati-Pongola CMA'!I58)</f>
        <v>5666219.6838893015</v>
      </c>
      <c r="J79" s="32">
        <f>IF(INDEX(E_budgeted!$B$3:$G$13,MATCH($A79,E_budgeted!$A$3:$A$13,0),MATCH($A$62,E_budgeted!$B$2:$G$2,0))&gt;0,MIN('Inkomati-Pongola CMA'!J58,E_budgeted!J115),'Inkomati-Pongola CMA'!J58)</f>
        <v>5666219.6838893015</v>
      </c>
      <c r="K79" s="32">
        <f>IF(INDEX(E_budgeted!$B$3:$G$13,MATCH($A79,E_budgeted!$A$3:$A$13,0),MATCH($A$62,E_budgeted!$B$2:$G$2,0))&gt;0,MIN('Inkomati-Pongola CMA'!K58,E_budgeted!K115),'Inkomati-Pongola CMA'!K58)</f>
        <v>5666219.6838893015</v>
      </c>
      <c r="L79" s="5">
        <f t="shared" ref="L79:L89" si="48">AVERAGE(B79:K79)</f>
        <v>5666219.6838893006</v>
      </c>
    </row>
    <row r="80" spans="1:12" x14ac:dyDescent="0.25">
      <c r="A80" s="4" t="s">
        <v>36</v>
      </c>
      <c r="B80" s="32">
        <f>IF(INDEX(E_budgeted!$B$3:$G$13,MATCH($A80,E_budgeted!$A$3:$A$13,0),MATCH($A$62,E_budgeted!$B$2:$G$2,0))&gt;0,MIN('Inkomati-Pongola CMA'!B59,E_budgeted!B116),'Inkomati-Pongola CMA'!B59)</f>
        <v>1210179.6103478344</v>
      </c>
      <c r="C80" s="32">
        <f>IF(INDEX(E_budgeted!$B$3:$G$13,MATCH($A80,E_budgeted!$A$3:$A$13,0),MATCH($A$62,E_budgeted!$B$2:$G$2,0))&gt;0,MIN('Inkomati-Pongola CMA'!C59,E_budgeted!C116),'Inkomati-Pongola CMA'!C59)</f>
        <v>1210179.6103478344</v>
      </c>
      <c r="D80" s="32">
        <f>IF(INDEX(E_budgeted!$B$3:$G$13,MATCH($A80,E_budgeted!$A$3:$A$13,0),MATCH($A$62,E_budgeted!$B$2:$G$2,0))&gt;0,MIN('Inkomati-Pongola CMA'!D59,E_budgeted!D116),'Inkomati-Pongola CMA'!D59)</f>
        <v>1210179.6103478344</v>
      </c>
      <c r="E80" s="32">
        <f>IF(INDEX(E_budgeted!$B$3:$G$13,MATCH($A80,E_budgeted!$A$3:$A$13,0),MATCH($A$62,E_budgeted!$B$2:$G$2,0))&gt;0,MIN('Inkomati-Pongola CMA'!E59,E_budgeted!E116),'Inkomati-Pongola CMA'!E59)</f>
        <v>1210179.6103478344</v>
      </c>
      <c r="F80" s="32">
        <f>IF(INDEX(E_budgeted!$B$3:$G$13,MATCH($A80,E_budgeted!$A$3:$A$13,0),MATCH($A$62,E_budgeted!$B$2:$G$2,0))&gt;0,MIN('Inkomati-Pongola CMA'!F59,E_budgeted!F116),'Inkomati-Pongola CMA'!F59)</f>
        <v>1210179.6103478344</v>
      </c>
      <c r="G80" s="32">
        <f>IF(INDEX(E_budgeted!$B$3:$G$13,MATCH($A80,E_budgeted!$A$3:$A$13,0),MATCH($A$62,E_budgeted!$B$2:$G$2,0))&gt;0,MIN('Inkomati-Pongola CMA'!G59,E_budgeted!G116),'Inkomati-Pongola CMA'!G59)</f>
        <v>1210179.6103478344</v>
      </c>
      <c r="H80" s="32">
        <f>IF(INDEX(E_budgeted!$B$3:$G$13,MATCH($A80,E_budgeted!$A$3:$A$13,0),MATCH($A$62,E_budgeted!$B$2:$G$2,0))&gt;0,MIN('Inkomati-Pongola CMA'!H59,E_budgeted!H116),'Inkomati-Pongola CMA'!H59)</f>
        <v>1210179.6103478344</v>
      </c>
      <c r="I80" s="32">
        <f>IF(INDEX(E_budgeted!$B$3:$G$13,MATCH($A80,E_budgeted!$A$3:$A$13,0),MATCH($A$62,E_budgeted!$B$2:$G$2,0))&gt;0,MIN('Inkomati-Pongola CMA'!I59,E_budgeted!I116),'Inkomati-Pongola CMA'!I59)</f>
        <v>1210179.6103478344</v>
      </c>
      <c r="J80" s="32">
        <f>IF(INDEX(E_budgeted!$B$3:$G$13,MATCH($A80,E_budgeted!$A$3:$A$13,0),MATCH($A$62,E_budgeted!$B$2:$G$2,0))&gt;0,MIN('Inkomati-Pongola CMA'!J59,E_budgeted!J116),'Inkomati-Pongola CMA'!J59)</f>
        <v>1210179.6103478344</v>
      </c>
      <c r="K80" s="32">
        <f>IF(INDEX(E_budgeted!$B$3:$G$13,MATCH($A80,E_budgeted!$A$3:$A$13,0),MATCH($A$62,E_budgeted!$B$2:$G$2,0))&gt;0,MIN('Inkomati-Pongola CMA'!K59,E_budgeted!K116),'Inkomati-Pongola CMA'!K59)</f>
        <v>1210179.6103478344</v>
      </c>
      <c r="L80" s="5">
        <f t="shared" si="48"/>
        <v>1210179.6103478342</v>
      </c>
    </row>
    <row r="81" spans="1:12" x14ac:dyDescent="0.25">
      <c r="A81" s="4" t="s">
        <v>11</v>
      </c>
      <c r="B81" s="32">
        <f>IF(INDEX(E_budgeted!$B$3:$G$13,MATCH($A81,E_budgeted!$A$3:$A$13,0),MATCH($A$62,E_budgeted!$B$2:$G$2,0))&gt;0,MIN('Inkomati-Pongola CMA'!B60,E_budgeted!B117),'Inkomati-Pongola CMA'!B60)</f>
        <v>0</v>
      </c>
      <c r="C81" s="32">
        <f>IF(INDEX(E_budgeted!$B$3:$G$13,MATCH($A81,E_budgeted!$A$3:$A$13,0),MATCH($A$62,E_budgeted!$B$2:$G$2,0))&gt;0,MIN('Inkomati-Pongola CMA'!C60,E_budgeted!C117),'Inkomati-Pongola CMA'!C60)</f>
        <v>0</v>
      </c>
      <c r="D81" s="32">
        <f>IF(INDEX(E_budgeted!$B$3:$G$13,MATCH($A81,E_budgeted!$A$3:$A$13,0),MATCH($A$62,E_budgeted!$B$2:$G$2,0))&gt;0,MIN('Inkomati-Pongola CMA'!D60,E_budgeted!D117),'Inkomati-Pongola CMA'!D60)</f>
        <v>0</v>
      </c>
      <c r="E81" s="32">
        <f>IF(INDEX(E_budgeted!$B$3:$G$13,MATCH($A81,E_budgeted!$A$3:$A$13,0),MATCH($A$62,E_budgeted!$B$2:$G$2,0))&gt;0,MIN('Inkomati-Pongola CMA'!E60,E_budgeted!E117),'Inkomati-Pongola CMA'!E60)</f>
        <v>0</v>
      </c>
      <c r="F81" s="32">
        <f>IF(INDEX(E_budgeted!$B$3:$G$13,MATCH($A81,E_budgeted!$A$3:$A$13,0),MATCH($A$62,E_budgeted!$B$2:$G$2,0))&gt;0,MIN('Inkomati-Pongola CMA'!F60,E_budgeted!F117),'Inkomati-Pongola CMA'!F60)</f>
        <v>0</v>
      </c>
      <c r="G81" s="32">
        <f>IF(INDEX(E_budgeted!$B$3:$G$13,MATCH($A81,E_budgeted!$A$3:$A$13,0),MATCH($A$62,E_budgeted!$B$2:$G$2,0))&gt;0,MIN('Inkomati-Pongola CMA'!G60,E_budgeted!G117),'Inkomati-Pongola CMA'!G60)</f>
        <v>0</v>
      </c>
      <c r="H81" s="32">
        <f>IF(INDEX(E_budgeted!$B$3:$G$13,MATCH($A81,E_budgeted!$A$3:$A$13,0),MATCH($A$62,E_budgeted!$B$2:$G$2,0))&gt;0,MIN('Inkomati-Pongola CMA'!H60,E_budgeted!H117),'Inkomati-Pongola CMA'!H60)</f>
        <v>0</v>
      </c>
      <c r="I81" s="32">
        <f>IF(INDEX(E_budgeted!$B$3:$G$13,MATCH($A81,E_budgeted!$A$3:$A$13,0),MATCH($A$62,E_budgeted!$B$2:$G$2,0))&gt;0,MIN('Inkomati-Pongola CMA'!I60,E_budgeted!I117),'Inkomati-Pongola CMA'!I60)</f>
        <v>0</v>
      </c>
      <c r="J81" s="32">
        <f>IF(INDEX(E_budgeted!$B$3:$G$13,MATCH($A81,E_budgeted!$A$3:$A$13,0),MATCH($A$62,E_budgeted!$B$2:$G$2,0))&gt;0,MIN('Inkomati-Pongola CMA'!J60,E_budgeted!J117),'Inkomati-Pongola CMA'!J60)</f>
        <v>0</v>
      </c>
      <c r="K81" s="32">
        <f>IF(INDEX(E_budgeted!$B$3:$G$13,MATCH($A81,E_budgeted!$A$3:$A$13,0),MATCH($A$62,E_budgeted!$B$2:$G$2,0))&gt;0,MIN('Inkomati-Pongola CMA'!K60,E_budgeted!K117),'Inkomati-Pongola CMA'!K60)</f>
        <v>0</v>
      </c>
      <c r="L81" s="5">
        <f t="shared" si="48"/>
        <v>0</v>
      </c>
    </row>
    <row r="82" spans="1:12" x14ac:dyDescent="0.25">
      <c r="A82" s="4" t="s">
        <v>124</v>
      </c>
      <c r="B82" s="32">
        <f>IF(INDEX(E_budgeted!$B$3:$G$13,MATCH($A82,E_budgeted!$A$3:$A$13,0),MATCH($A$62,E_budgeted!$B$2:$G$2,0))&gt;0,MIN('Inkomati-Pongola CMA'!B61,E_budgeted!B118),'Inkomati-Pongola CMA'!B61)</f>
        <v>553923.06314992998</v>
      </c>
      <c r="C82" s="32">
        <f>IF(INDEX(E_budgeted!$B$3:$G$13,MATCH($A82,E_budgeted!$A$3:$A$13,0),MATCH($A$62,E_budgeted!$B$2:$G$2,0))&gt;0,MIN('Inkomati-Pongola CMA'!C61,E_budgeted!C118),'Inkomati-Pongola CMA'!C61)</f>
        <v>553923.06314992998</v>
      </c>
      <c r="D82" s="32">
        <f>IF(INDEX(E_budgeted!$B$3:$G$13,MATCH($A82,E_budgeted!$A$3:$A$13,0),MATCH($A$62,E_budgeted!$B$2:$G$2,0))&gt;0,MIN('Inkomati-Pongola CMA'!D61,E_budgeted!D118),'Inkomati-Pongola CMA'!D61)</f>
        <v>553923.06314992998</v>
      </c>
      <c r="E82" s="32">
        <f>IF(INDEX(E_budgeted!$B$3:$G$13,MATCH($A82,E_budgeted!$A$3:$A$13,0),MATCH($A$62,E_budgeted!$B$2:$G$2,0))&gt;0,MIN('Inkomati-Pongola CMA'!E61,E_budgeted!E118),'Inkomati-Pongola CMA'!E61)</f>
        <v>553923.06314992998</v>
      </c>
      <c r="F82" s="32">
        <f>IF(INDEX(E_budgeted!$B$3:$G$13,MATCH($A82,E_budgeted!$A$3:$A$13,0),MATCH($A$62,E_budgeted!$B$2:$G$2,0))&gt;0,MIN('Inkomati-Pongola CMA'!F61,E_budgeted!F118),'Inkomati-Pongola CMA'!F61)</f>
        <v>553923.06314992998</v>
      </c>
      <c r="G82" s="32">
        <f>IF(INDEX(E_budgeted!$B$3:$G$13,MATCH($A82,E_budgeted!$A$3:$A$13,0),MATCH($A$62,E_budgeted!$B$2:$G$2,0))&gt;0,MIN('Inkomati-Pongola CMA'!G61,E_budgeted!G118),'Inkomati-Pongola CMA'!G61)</f>
        <v>553923.06314992998</v>
      </c>
      <c r="H82" s="32">
        <f>IF(INDEX(E_budgeted!$B$3:$G$13,MATCH($A82,E_budgeted!$A$3:$A$13,0),MATCH($A$62,E_budgeted!$B$2:$G$2,0))&gt;0,MIN('Inkomati-Pongola CMA'!H61,E_budgeted!H118),'Inkomati-Pongola CMA'!H61)</f>
        <v>553923.06314992998</v>
      </c>
      <c r="I82" s="32">
        <f>IF(INDEX(E_budgeted!$B$3:$G$13,MATCH($A82,E_budgeted!$A$3:$A$13,0),MATCH($A$62,E_budgeted!$B$2:$G$2,0))&gt;0,MIN('Inkomati-Pongola CMA'!I61,E_budgeted!I118),'Inkomati-Pongola CMA'!I61)</f>
        <v>553923.06314992998</v>
      </c>
      <c r="J82" s="32">
        <f>IF(INDEX(E_budgeted!$B$3:$G$13,MATCH($A82,E_budgeted!$A$3:$A$13,0),MATCH($A$62,E_budgeted!$B$2:$G$2,0))&gt;0,MIN('Inkomati-Pongola CMA'!J61,E_budgeted!J118),'Inkomati-Pongola CMA'!J61)</f>
        <v>553923.06314992998</v>
      </c>
      <c r="K82" s="32">
        <f>IF(INDEX(E_budgeted!$B$3:$G$13,MATCH($A82,E_budgeted!$A$3:$A$13,0),MATCH($A$62,E_budgeted!$B$2:$G$2,0))&gt;0,MIN('Inkomati-Pongola CMA'!K61,E_budgeted!K118),'Inkomati-Pongola CMA'!K61)</f>
        <v>553923.06314992998</v>
      </c>
      <c r="L82" s="5">
        <f t="shared" si="48"/>
        <v>553923.06314992998</v>
      </c>
    </row>
    <row r="83" spans="1:12" x14ac:dyDescent="0.25">
      <c r="A83" s="4" t="s">
        <v>12</v>
      </c>
      <c r="B83" s="32">
        <f>IF(INDEX(E_budgeted!$B$3:$G$13,MATCH($A83,E_budgeted!$A$3:$A$13,0),MATCH($A$62,E_budgeted!$B$2:$G$2,0))&gt;0,MIN('Inkomati-Pongola CMA'!B62,E_budgeted!B119),'Inkomati-Pongola CMA'!B62)</f>
        <v>2319714.9022037964</v>
      </c>
      <c r="C83" s="32">
        <f>IF(INDEX(E_budgeted!$B$3:$G$13,MATCH($A83,E_budgeted!$A$3:$A$13,0),MATCH($A$62,E_budgeted!$B$2:$G$2,0))&gt;0,MIN('Inkomati-Pongola CMA'!C62,E_budgeted!C119),'Inkomati-Pongola CMA'!C62)</f>
        <v>2319714.9022037964</v>
      </c>
      <c r="D83" s="32">
        <f>IF(INDEX(E_budgeted!$B$3:$G$13,MATCH($A83,E_budgeted!$A$3:$A$13,0),MATCH($A$62,E_budgeted!$B$2:$G$2,0))&gt;0,MIN('Inkomati-Pongola CMA'!D62,E_budgeted!D119),'Inkomati-Pongola CMA'!D62)</f>
        <v>2319714.9022037964</v>
      </c>
      <c r="E83" s="32">
        <f>IF(INDEX(E_budgeted!$B$3:$G$13,MATCH($A83,E_budgeted!$A$3:$A$13,0),MATCH($A$62,E_budgeted!$B$2:$G$2,0))&gt;0,MIN('Inkomati-Pongola CMA'!E62,E_budgeted!E119),'Inkomati-Pongola CMA'!E62)</f>
        <v>2319714.9022037964</v>
      </c>
      <c r="F83" s="32">
        <f>IF(INDEX(E_budgeted!$B$3:$G$13,MATCH($A83,E_budgeted!$A$3:$A$13,0),MATCH($A$62,E_budgeted!$B$2:$G$2,0))&gt;0,MIN('Inkomati-Pongola CMA'!F62,E_budgeted!F119),'Inkomati-Pongola CMA'!F62)</f>
        <v>2319714.9022037964</v>
      </c>
      <c r="G83" s="32">
        <f>IF(INDEX(E_budgeted!$B$3:$G$13,MATCH($A83,E_budgeted!$A$3:$A$13,0),MATCH($A$62,E_budgeted!$B$2:$G$2,0))&gt;0,MIN('Inkomati-Pongola CMA'!G62,E_budgeted!G119),'Inkomati-Pongola CMA'!G62)</f>
        <v>2319714.9022037964</v>
      </c>
      <c r="H83" s="32">
        <f>IF(INDEX(E_budgeted!$B$3:$G$13,MATCH($A83,E_budgeted!$A$3:$A$13,0),MATCH($A$62,E_budgeted!$B$2:$G$2,0))&gt;0,MIN('Inkomati-Pongola CMA'!H62,E_budgeted!H119),'Inkomati-Pongola CMA'!H62)</f>
        <v>2319714.9022037964</v>
      </c>
      <c r="I83" s="32">
        <f>IF(INDEX(E_budgeted!$B$3:$G$13,MATCH($A83,E_budgeted!$A$3:$A$13,0),MATCH($A$62,E_budgeted!$B$2:$G$2,0))&gt;0,MIN('Inkomati-Pongola CMA'!I62,E_budgeted!I119),'Inkomati-Pongola CMA'!I62)</f>
        <v>2319714.9022037964</v>
      </c>
      <c r="J83" s="32">
        <f>IF(INDEX(E_budgeted!$B$3:$G$13,MATCH($A83,E_budgeted!$A$3:$A$13,0),MATCH($A$62,E_budgeted!$B$2:$G$2,0))&gt;0,MIN('Inkomati-Pongola CMA'!J62,E_budgeted!J119),'Inkomati-Pongola CMA'!J62)</f>
        <v>2319714.9022037964</v>
      </c>
      <c r="K83" s="32">
        <f>IF(INDEX(E_budgeted!$B$3:$G$13,MATCH($A83,E_budgeted!$A$3:$A$13,0),MATCH($A$62,E_budgeted!$B$2:$G$2,0))&gt;0,MIN('Inkomati-Pongola CMA'!K62,E_budgeted!K119),'Inkomati-Pongola CMA'!K62)</f>
        <v>2319714.9022037964</v>
      </c>
      <c r="L83" s="5">
        <f t="shared" si="48"/>
        <v>2319714.9022037969</v>
      </c>
    </row>
    <row r="84" spans="1:12" x14ac:dyDescent="0.25">
      <c r="A84" s="4" t="s">
        <v>13</v>
      </c>
      <c r="B84" s="32">
        <f>IF(INDEX(E_budgeted!$B$3:$G$13,MATCH($A84,E_budgeted!$A$3:$A$13,0),MATCH($A$62,E_budgeted!$B$2:$G$2,0))&gt;0,MIN('Inkomati-Pongola CMA'!B63,E_budgeted!B120),'Inkomati-Pongola CMA'!B63)</f>
        <v>0</v>
      </c>
      <c r="C84" s="32">
        <f>IF(INDEX(E_budgeted!$B$3:$G$13,MATCH($A84,E_budgeted!$A$3:$A$13,0),MATCH($A$62,E_budgeted!$B$2:$G$2,0))&gt;0,MIN('Inkomati-Pongola CMA'!C63,E_budgeted!C120),'Inkomati-Pongola CMA'!C63)</f>
        <v>0</v>
      </c>
      <c r="D84" s="32">
        <f>IF(INDEX(E_budgeted!$B$3:$G$13,MATCH($A84,E_budgeted!$A$3:$A$13,0),MATCH($A$62,E_budgeted!$B$2:$G$2,0))&gt;0,MIN('Inkomati-Pongola CMA'!D63,E_budgeted!D120),'Inkomati-Pongola CMA'!D63)</f>
        <v>0</v>
      </c>
      <c r="E84" s="32">
        <f>IF(INDEX(E_budgeted!$B$3:$G$13,MATCH($A84,E_budgeted!$A$3:$A$13,0),MATCH($A$62,E_budgeted!$B$2:$G$2,0))&gt;0,MIN('Inkomati-Pongola CMA'!E63,E_budgeted!E120),'Inkomati-Pongola CMA'!E63)</f>
        <v>0</v>
      </c>
      <c r="F84" s="32">
        <f>IF(INDEX(E_budgeted!$B$3:$G$13,MATCH($A84,E_budgeted!$A$3:$A$13,0),MATCH($A$62,E_budgeted!$B$2:$G$2,0))&gt;0,MIN('Inkomati-Pongola CMA'!F63,E_budgeted!F120),'Inkomati-Pongola CMA'!F63)</f>
        <v>0</v>
      </c>
      <c r="G84" s="32">
        <f>IF(INDEX(E_budgeted!$B$3:$G$13,MATCH($A84,E_budgeted!$A$3:$A$13,0),MATCH($A$62,E_budgeted!$B$2:$G$2,0))&gt;0,MIN('Inkomati-Pongola CMA'!G63,E_budgeted!G120),'Inkomati-Pongola CMA'!G63)</f>
        <v>0</v>
      </c>
      <c r="H84" s="32">
        <f>IF(INDEX(E_budgeted!$B$3:$G$13,MATCH($A84,E_budgeted!$A$3:$A$13,0),MATCH($A$62,E_budgeted!$B$2:$G$2,0))&gt;0,MIN('Inkomati-Pongola CMA'!H63,E_budgeted!H120),'Inkomati-Pongola CMA'!H63)</f>
        <v>0</v>
      </c>
      <c r="I84" s="32">
        <f>IF(INDEX(E_budgeted!$B$3:$G$13,MATCH($A84,E_budgeted!$A$3:$A$13,0),MATCH($A$62,E_budgeted!$B$2:$G$2,0))&gt;0,MIN('Inkomati-Pongola CMA'!I63,E_budgeted!I120),'Inkomati-Pongola CMA'!I63)</f>
        <v>0</v>
      </c>
      <c r="J84" s="32">
        <f>IF(INDEX(E_budgeted!$B$3:$G$13,MATCH($A84,E_budgeted!$A$3:$A$13,0),MATCH($A$62,E_budgeted!$B$2:$G$2,0))&gt;0,MIN('Inkomati-Pongola CMA'!J63,E_budgeted!J120),'Inkomati-Pongola CMA'!J63)</f>
        <v>0</v>
      </c>
      <c r="K84" s="32">
        <f>IF(INDEX(E_budgeted!$B$3:$G$13,MATCH($A84,E_budgeted!$A$3:$A$13,0),MATCH($A$62,E_budgeted!$B$2:$G$2,0))&gt;0,MIN('Inkomati-Pongola CMA'!K63,E_budgeted!K120),'Inkomati-Pongola CMA'!K63)</f>
        <v>0</v>
      </c>
      <c r="L84" s="5">
        <f t="shared" si="48"/>
        <v>0</v>
      </c>
    </row>
    <row r="85" spans="1:12" x14ac:dyDescent="0.25">
      <c r="A85" s="4" t="s">
        <v>14</v>
      </c>
      <c r="B85" s="32">
        <f>IF(INDEX(E_budgeted!$B$3:$G$13,MATCH($A85,E_budgeted!$A$3:$A$13,0),MATCH($A$62,E_budgeted!$B$2:$G$2,0))&gt;0,MIN('Inkomati-Pongola CMA'!B64,E_budgeted!B121),'Inkomati-Pongola CMA'!B64)</f>
        <v>0</v>
      </c>
      <c r="C85" s="32">
        <f>IF(INDEX(E_budgeted!$B$3:$G$13,MATCH($A85,E_budgeted!$A$3:$A$13,0),MATCH($A$62,E_budgeted!$B$2:$G$2,0))&gt;0,MIN('Inkomati-Pongola CMA'!C64,E_budgeted!C121),'Inkomati-Pongola CMA'!C64)</f>
        <v>0</v>
      </c>
      <c r="D85" s="32">
        <f>IF(INDEX(E_budgeted!$B$3:$G$13,MATCH($A85,E_budgeted!$A$3:$A$13,0),MATCH($A$62,E_budgeted!$B$2:$G$2,0))&gt;0,MIN('Inkomati-Pongola CMA'!D64,E_budgeted!D121),'Inkomati-Pongola CMA'!D64)</f>
        <v>0</v>
      </c>
      <c r="E85" s="32">
        <f>IF(INDEX(E_budgeted!$B$3:$G$13,MATCH($A85,E_budgeted!$A$3:$A$13,0),MATCH($A$62,E_budgeted!$B$2:$G$2,0))&gt;0,MIN('Inkomati-Pongola CMA'!E64,E_budgeted!E121),'Inkomati-Pongola CMA'!E64)</f>
        <v>0</v>
      </c>
      <c r="F85" s="32">
        <f>IF(INDEX(E_budgeted!$B$3:$G$13,MATCH($A85,E_budgeted!$A$3:$A$13,0),MATCH($A$62,E_budgeted!$B$2:$G$2,0))&gt;0,MIN('Inkomati-Pongola CMA'!F64,E_budgeted!F121),'Inkomati-Pongola CMA'!F64)</f>
        <v>0</v>
      </c>
      <c r="G85" s="32">
        <f>IF(INDEX(E_budgeted!$B$3:$G$13,MATCH($A85,E_budgeted!$A$3:$A$13,0),MATCH($A$62,E_budgeted!$B$2:$G$2,0))&gt;0,MIN('Inkomati-Pongola CMA'!G64,E_budgeted!G121),'Inkomati-Pongola CMA'!G64)</f>
        <v>0</v>
      </c>
      <c r="H85" s="32">
        <f>IF(INDEX(E_budgeted!$B$3:$G$13,MATCH($A85,E_budgeted!$A$3:$A$13,0),MATCH($A$62,E_budgeted!$B$2:$G$2,0))&gt;0,MIN('Inkomati-Pongola CMA'!H64,E_budgeted!H121),'Inkomati-Pongola CMA'!H64)</f>
        <v>0</v>
      </c>
      <c r="I85" s="32">
        <f>IF(INDEX(E_budgeted!$B$3:$G$13,MATCH($A85,E_budgeted!$A$3:$A$13,0),MATCH($A$62,E_budgeted!$B$2:$G$2,0))&gt;0,MIN('Inkomati-Pongola CMA'!I64,E_budgeted!I121),'Inkomati-Pongola CMA'!I64)</f>
        <v>0</v>
      </c>
      <c r="J85" s="32">
        <f>IF(INDEX(E_budgeted!$B$3:$G$13,MATCH($A85,E_budgeted!$A$3:$A$13,0),MATCH($A$62,E_budgeted!$B$2:$G$2,0))&gt;0,MIN('Inkomati-Pongola CMA'!J64,E_budgeted!J121),'Inkomati-Pongola CMA'!J64)</f>
        <v>0</v>
      </c>
      <c r="K85" s="32">
        <f>IF(INDEX(E_budgeted!$B$3:$G$13,MATCH($A85,E_budgeted!$A$3:$A$13,0),MATCH($A$62,E_budgeted!$B$2:$G$2,0))&gt;0,MIN('Inkomati-Pongola CMA'!K64,E_budgeted!K121),'Inkomati-Pongola CMA'!K64)</f>
        <v>0</v>
      </c>
      <c r="L85" s="5">
        <f t="shared" si="48"/>
        <v>0</v>
      </c>
    </row>
    <row r="86" spans="1:12" x14ac:dyDescent="0.25">
      <c r="A86" s="4" t="s">
        <v>125</v>
      </c>
      <c r="B86" s="32">
        <f>IF(INDEX(E_budgeted!$B$3:$G$13,MATCH($A86,E_budgeted!$A$3:$A$13,0),MATCH($A$62,E_budgeted!$B$2:$G$2,0))&gt;0,MIN('Inkomati-Pongola CMA'!B65,E_budgeted!B122),'Inkomati-Pongola CMA'!B65)</f>
        <v>613736.00012856501</v>
      </c>
      <c r="C86" s="32">
        <f>IF(INDEX(E_budgeted!$B$3:$G$13,MATCH($A86,E_budgeted!$A$3:$A$13,0),MATCH($A$62,E_budgeted!$B$2:$G$2,0))&gt;0,MIN('Inkomati-Pongola CMA'!C65,E_budgeted!C122),'Inkomati-Pongola CMA'!C65)</f>
        <v>613736.00012856501</v>
      </c>
      <c r="D86" s="32">
        <f>IF(INDEX(E_budgeted!$B$3:$G$13,MATCH($A86,E_budgeted!$A$3:$A$13,0),MATCH($A$62,E_budgeted!$B$2:$G$2,0))&gt;0,MIN('Inkomati-Pongola CMA'!D65,E_budgeted!D122),'Inkomati-Pongola CMA'!D65)</f>
        <v>613736.00012856501</v>
      </c>
      <c r="E86" s="32">
        <f>IF(INDEX(E_budgeted!$B$3:$G$13,MATCH($A86,E_budgeted!$A$3:$A$13,0),MATCH($A$62,E_budgeted!$B$2:$G$2,0))&gt;0,MIN('Inkomati-Pongola CMA'!E65,E_budgeted!E122),'Inkomati-Pongola CMA'!E65)</f>
        <v>613736.00012856501</v>
      </c>
      <c r="F86" s="32">
        <f>IF(INDEX(E_budgeted!$B$3:$G$13,MATCH($A86,E_budgeted!$A$3:$A$13,0),MATCH($A$62,E_budgeted!$B$2:$G$2,0))&gt;0,MIN('Inkomati-Pongola CMA'!F65,E_budgeted!F122),'Inkomati-Pongola CMA'!F65)</f>
        <v>613736.00012856501</v>
      </c>
      <c r="G86" s="32">
        <f>IF(INDEX(E_budgeted!$B$3:$G$13,MATCH($A86,E_budgeted!$A$3:$A$13,0),MATCH($A$62,E_budgeted!$B$2:$G$2,0))&gt;0,MIN('Inkomati-Pongola CMA'!G65,E_budgeted!G122),'Inkomati-Pongola CMA'!G65)</f>
        <v>613736.00012856501</v>
      </c>
      <c r="H86" s="32">
        <f>IF(INDEX(E_budgeted!$B$3:$G$13,MATCH($A86,E_budgeted!$A$3:$A$13,0),MATCH($A$62,E_budgeted!$B$2:$G$2,0))&gt;0,MIN('Inkomati-Pongola CMA'!H65,E_budgeted!H122),'Inkomati-Pongola CMA'!H65)</f>
        <v>613736.00012856501</v>
      </c>
      <c r="I86" s="32">
        <f>IF(INDEX(E_budgeted!$B$3:$G$13,MATCH($A86,E_budgeted!$A$3:$A$13,0),MATCH($A$62,E_budgeted!$B$2:$G$2,0))&gt;0,MIN('Inkomati-Pongola CMA'!I65,E_budgeted!I122),'Inkomati-Pongola CMA'!I65)</f>
        <v>613736.00012856501</v>
      </c>
      <c r="J86" s="32">
        <f>IF(INDEX(E_budgeted!$B$3:$G$13,MATCH($A86,E_budgeted!$A$3:$A$13,0),MATCH($A$62,E_budgeted!$B$2:$G$2,0))&gt;0,MIN('Inkomati-Pongola CMA'!J65,E_budgeted!J122),'Inkomati-Pongola CMA'!J65)</f>
        <v>613736.00012856501</v>
      </c>
      <c r="K86" s="32">
        <f>IF(INDEX(E_budgeted!$B$3:$G$13,MATCH($A86,E_budgeted!$A$3:$A$13,0),MATCH($A$62,E_budgeted!$B$2:$G$2,0))&gt;0,MIN('Inkomati-Pongola CMA'!K65,E_budgeted!K122),'Inkomati-Pongola CMA'!K65)</f>
        <v>613736.00012856501</v>
      </c>
      <c r="L86" s="5">
        <f t="shared" si="48"/>
        <v>613736.00012856512</v>
      </c>
    </row>
    <row r="87" spans="1:12" x14ac:dyDescent="0.25">
      <c r="A87" s="4" t="s">
        <v>37</v>
      </c>
      <c r="B87" s="32">
        <f>IF(INDEX(E_budgeted!$B$3:$G$13,MATCH($A87,E_budgeted!$A$3:$A$13,0),MATCH($A$62,E_budgeted!$B$2:$G$2,0))&gt;0,MIN('Inkomati-Pongola CMA'!B66,E_budgeted!B123),'Inkomati-Pongola CMA'!B66)</f>
        <v>14058426.414010111</v>
      </c>
      <c r="C87" s="32">
        <f>IF(INDEX(E_budgeted!$B$3:$G$13,MATCH($A87,E_budgeted!$A$3:$A$13,0),MATCH($A$62,E_budgeted!$B$2:$G$2,0))&gt;0,MIN('Inkomati-Pongola CMA'!C66,E_budgeted!C123),'Inkomati-Pongola CMA'!C66)</f>
        <v>14058426.414010111</v>
      </c>
      <c r="D87" s="32">
        <f>IF(INDEX(E_budgeted!$B$3:$G$13,MATCH($A87,E_budgeted!$A$3:$A$13,0),MATCH($A$62,E_budgeted!$B$2:$G$2,0))&gt;0,MIN('Inkomati-Pongola CMA'!D66,E_budgeted!D123),'Inkomati-Pongola CMA'!D66)</f>
        <v>14058426.414010111</v>
      </c>
      <c r="E87" s="32">
        <f>IF(INDEX(E_budgeted!$B$3:$G$13,MATCH($A87,E_budgeted!$A$3:$A$13,0),MATCH($A$62,E_budgeted!$B$2:$G$2,0))&gt;0,MIN('Inkomati-Pongola CMA'!E66,E_budgeted!E123),'Inkomati-Pongola CMA'!E66)</f>
        <v>14058426.414010111</v>
      </c>
      <c r="F87" s="32">
        <f>IF(INDEX(E_budgeted!$B$3:$G$13,MATCH($A87,E_budgeted!$A$3:$A$13,0),MATCH($A$62,E_budgeted!$B$2:$G$2,0))&gt;0,MIN('Inkomati-Pongola CMA'!F66,E_budgeted!F123),'Inkomati-Pongola CMA'!F66)</f>
        <v>14058426.414010111</v>
      </c>
      <c r="G87" s="32">
        <f>IF(INDEX(E_budgeted!$B$3:$G$13,MATCH($A87,E_budgeted!$A$3:$A$13,0),MATCH($A$62,E_budgeted!$B$2:$G$2,0))&gt;0,MIN('Inkomati-Pongola CMA'!G66,E_budgeted!G123),'Inkomati-Pongola CMA'!G66)</f>
        <v>14058426.414010111</v>
      </c>
      <c r="H87" s="32">
        <f>IF(INDEX(E_budgeted!$B$3:$G$13,MATCH($A87,E_budgeted!$A$3:$A$13,0),MATCH($A$62,E_budgeted!$B$2:$G$2,0))&gt;0,MIN('Inkomati-Pongola CMA'!H66,E_budgeted!H123),'Inkomati-Pongola CMA'!H66)</f>
        <v>14058426.414010111</v>
      </c>
      <c r="I87" s="32">
        <f>IF(INDEX(E_budgeted!$B$3:$G$13,MATCH($A87,E_budgeted!$A$3:$A$13,0),MATCH($A$62,E_budgeted!$B$2:$G$2,0))&gt;0,MIN('Inkomati-Pongola CMA'!I66,E_budgeted!I123),'Inkomati-Pongola CMA'!I66)</f>
        <v>14058426.414010111</v>
      </c>
      <c r="J87" s="32">
        <f>IF(INDEX(E_budgeted!$B$3:$G$13,MATCH($A87,E_budgeted!$A$3:$A$13,0),MATCH($A$62,E_budgeted!$B$2:$G$2,0))&gt;0,MIN('Inkomati-Pongola CMA'!J66,E_budgeted!J123),'Inkomati-Pongola CMA'!J66)</f>
        <v>14058426.414010111</v>
      </c>
      <c r="K87" s="32">
        <f>IF(INDEX(E_budgeted!$B$3:$G$13,MATCH($A87,E_budgeted!$A$3:$A$13,0),MATCH($A$62,E_budgeted!$B$2:$G$2,0))&gt;0,MIN('Inkomati-Pongola CMA'!K66,E_budgeted!K123),'Inkomati-Pongola CMA'!K66)</f>
        <v>14058426.414010111</v>
      </c>
      <c r="L87" s="5">
        <f t="shared" si="48"/>
        <v>14058426.414010111</v>
      </c>
    </row>
    <row r="88" spans="1:12" x14ac:dyDescent="0.25">
      <c r="A88" s="4" t="s">
        <v>38</v>
      </c>
      <c r="B88" s="32">
        <f>IF(INDEX(E_budgeted!$B$3:$G$13,MATCH($A88,E_budgeted!$A$3:$A$13,0),MATCH($A$62,E_budgeted!$B$2:$G$2,0))&gt;0,MIN('Inkomati-Pongola CMA'!B67,E_budgeted!B124),'Inkomati-Pongola CMA'!B67)</f>
        <v>299137.26062194031</v>
      </c>
      <c r="C88" s="32">
        <f>IF(INDEX(E_budgeted!$B$3:$G$13,MATCH($A88,E_budgeted!$A$3:$A$13,0),MATCH($A$62,E_budgeted!$B$2:$G$2,0))&gt;0,MIN('Inkomati-Pongola CMA'!C67,E_budgeted!C124),'Inkomati-Pongola CMA'!C67)</f>
        <v>299137.26062194031</v>
      </c>
      <c r="D88" s="32">
        <f>IF(INDEX(E_budgeted!$B$3:$G$13,MATCH($A88,E_budgeted!$A$3:$A$13,0),MATCH($A$62,E_budgeted!$B$2:$G$2,0))&gt;0,MIN('Inkomati-Pongola CMA'!D67,E_budgeted!D124),'Inkomati-Pongola CMA'!D67)</f>
        <v>299137.26062194031</v>
      </c>
      <c r="E88" s="32">
        <f>IF(INDEX(E_budgeted!$B$3:$G$13,MATCH($A88,E_budgeted!$A$3:$A$13,0),MATCH($A$62,E_budgeted!$B$2:$G$2,0))&gt;0,MIN('Inkomati-Pongola CMA'!E67,E_budgeted!E124),'Inkomati-Pongola CMA'!E67)</f>
        <v>299137.26062194031</v>
      </c>
      <c r="F88" s="32">
        <f>IF(INDEX(E_budgeted!$B$3:$G$13,MATCH($A88,E_budgeted!$A$3:$A$13,0),MATCH($A$62,E_budgeted!$B$2:$G$2,0))&gt;0,MIN('Inkomati-Pongola CMA'!F67,E_budgeted!F124),'Inkomati-Pongola CMA'!F67)</f>
        <v>299137.26062194031</v>
      </c>
      <c r="G88" s="32">
        <f>IF(INDEX(E_budgeted!$B$3:$G$13,MATCH($A88,E_budgeted!$A$3:$A$13,0),MATCH($A$62,E_budgeted!$B$2:$G$2,0))&gt;0,MIN('Inkomati-Pongola CMA'!G67,E_budgeted!G124),'Inkomati-Pongola CMA'!G67)</f>
        <v>299137.26062194031</v>
      </c>
      <c r="H88" s="32">
        <f>IF(INDEX(E_budgeted!$B$3:$G$13,MATCH($A88,E_budgeted!$A$3:$A$13,0),MATCH($A$62,E_budgeted!$B$2:$G$2,0))&gt;0,MIN('Inkomati-Pongola CMA'!H67,E_budgeted!H124),'Inkomati-Pongola CMA'!H67)</f>
        <v>299137.26062194031</v>
      </c>
      <c r="I88" s="32">
        <f>IF(INDEX(E_budgeted!$B$3:$G$13,MATCH($A88,E_budgeted!$A$3:$A$13,0),MATCH($A$62,E_budgeted!$B$2:$G$2,0))&gt;0,MIN('Inkomati-Pongola CMA'!I67,E_budgeted!I124),'Inkomati-Pongola CMA'!I67)</f>
        <v>299137.26062194031</v>
      </c>
      <c r="J88" s="32">
        <f>IF(INDEX(E_budgeted!$B$3:$G$13,MATCH($A88,E_budgeted!$A$3:$A$13,0),MATCH($A$62,E_budgeted!$B$2:$G$2,0))&gt;0,MIN('Inkomati-Pongola CMA'!J67,E_budgeted!J124),'Inkomati-Pongola CMA'!J67)</f>
        <v>299137.26062194031</v>
      </c>
      <c r="K88" s="32">
        <f>IF(INDEX(E_budgeted!$B$3:$G$13,MATCH($A88,E_budgeted!$A$3:$A$13,0),MATCH($A$62,E_budgeted!$B$2:$G$2,0))&gt;0,MIN('Inkomati-Pongola CMA'!K67,E_budgeted!K124),'Inkomati-Pongola CMA'!K67)</f>
        <v>299137.26062194031</v>
      </c>
      <c r="L88" s="5">
        <f t="shared" si="48"/>
        <v>299137.26062194031</v>
      </c>
    </row>
    <row r="89" spans="1:12" x14ac:dyDescent="0.25">
      <c r="A89" s="4" t="s">
        <v>15</v>
      </c>
      <c r="B89" s="13">
        <f>IF(INDEX(E_budgeted!$B$3:$G$13,MATCH($A89,E_budgeted!$A$3:$A$13,0),MATCH($A$62,E_budgeted!$B$2:$G$2,0))&gt;0,MIN('Inkomati-Pongola CMA'!B68,E_budgeted!B125),'Inkomati-Pongola CMA'!B68)</f>
        <v>10352361.543084553</v>
      </c>
      <c r="C89" s="13">
        <f>IF(INDEX(E_budgeted!$B$3:$G$13,MATCH($A89,E_budgeted!$A$3:$A$13,0),MATCH($A$62,E_budgeted!$B$2:$G$2,0))&gt;0,MIN('Inkomati-Pongola CMA'!C68,E_budgeted!C125),'Inkomati-Pongola CMA'!C68)</f>
        <v>10352361.543084553</v>
      </c>
      <c r="D89" s="13">
        <f>IF(INDEX(E_budgeted!$B$3:$G$13,MATCH($A89,E_budgeted!$A$3:$A$13,0),MATCH($A$62,E_budgeted!$B$2:$G$2,0))&gt;0,MIN('Inkomati-Pongola CMA'!D68,E_budgeted!D125),'Inkomati-Pongola CMA'!D68)</f>
        <v>10352361.543084553</v>
      </c>
      <c r="E89" s="13">
        <f>IF(INDEX(E_budgeted!$B$3:$G$13,MATCH($A89,E_budgeted!$A$3:$A$13,0),MATCH($A$62,E_budgeted!$B$2:$G$2,0))&gt;0,MIN('Inkomati-Pongola CMA'!E68,E_budgeted!E125),'Inkomati-Pongola CMA'!E68)</f>
        <v>10352361.543084553</v>
      </c>
      <c r="F89" s="13">
        <f>IF(INDEX(E_budgeted!$B$3:$G$13,MATCH($A89,E_budgeted!$A$3:$A$13,0),MATCH($A$62,E_budgeted!$B$2:$G$2,0))&gt;0,MIN('Inkomati-Pongola CMA'!F68,E_budgeted!F125),'Inkomati-Pongola CMA'!F68)</f>
        <v>10352361.543084553</v>
      </c>
      <c r="G89" s="13">
        <f>IF(INDEX(E_budgeted!$B$3:$G$13,MATCH($A89,E_budgeted!$A$3:$A$13,0),MATCH($A$62,E_budgeted!$B$2:$G$2,0))&gt;0,MIN('Inkomati-Pongola CMA'!G68,E_budgeted!G125),'Inkomati-Pongola CMA'!G68)</f>
        <v>10352361.543084553</v>
      </c>
      <c r="H89" s="13">
        <f>IF(INDEX(E_budgeted!$B$3:$G$13,MATCH($A89,E_budgeted!$A$3:$A$13,0),MATCH($A$62,E_budgeted!$B$2:$G$2,0))&gt;0,MIN('Inkomati-Pongola CMA'!H68,E_budgeted!H125),'Inkomati-Pongola CMA'!H68)</f>
        <v>10352361.543084553</v>
      </c>
      <c r="I89" s="13">
        <f>IF(INDEX(E_budgeted!$B$3:$G$13,MATCH($A89,E_budgeted!$A$3:$A$13,0),MATCH($A$62,E_budgeted!$B$2:$G$2,0))&gt;0,MIN('Inkomati-Pongola CMA'!I68,E_budgeted!I125),'Inkomati-Pongola CMA'!I68)</f>
        <v>10352361.543084553</v>
      </c>
      <c r="J89" s="13">
        <f>IF(INDEX(E_budgeted!$B$3:$G$13,MATCH($A89,E_budgeted!$A$3:$A$13,0),MATCH($A$62,E_budgeted!$B$2:$G$2,0))&gt;0,MIN('Inkomati-Pongola CMA'!J68,E_budgeted!J125),'Inkomati-Pongola CMA'!J68)</f>
        <v>10352361.543084553</v>
      </c>
      <c r="K89" s="13">
        <f>IF(INDEX(E_budgeted!$B$3:$G$13,MATCH($A89,E_budgeted!$A$3:$A$13,0),MATCH($A$62,E_budgeted!$B$2:$G$2,0))&gt;0,MIN('Inkomati-Pongola CMA'!K68,E_budgeted!K125),'Inkomati-Pongola CMA'!K68)</f>
        <v>10352361.543084553</v>
      </c>
      <c r="L89" s="5">
        <f t="shared" si="48"/>
        <v>10352361.543084551</v>
      </c>
    </row>
    <row r="90" spans="1:12" x14ac:dyDescent="0.25">
      <c r="B90" s="5">
        <f t="shared" ref="B90:K90" si="49">SUM(B79:B89)</f>
        <v>35073698.477436028</v>
      </c>
      <c r="C90" s="5">
        <f t="shared" si="49"/>
        <v>35073698.477436028</v>
      </c>
      <c r="D90" s="5">
        <f t="shared" si="49"/>
        <v>35073698.477436028</v>
      </c>
      <c r="E90" s="5">
        <f t="shared" si="49"/>
        <v>35073698.477436028</v>
      </c>
      <c r="F90" s="5">
        <f t="shared" si="49"/>
        <v>35073698.477436028</v>
      </c>
      <c r="G90" s="5">
        <f t="shared" si="49"/>
        <v>35073698.477436028</v>
      </c>
      <c r="H90" s="5">
        <f t="shared" si="49"/>
        <v>35073698.477436028</v>
      </c>
      <c r="I90" s="5">
        <f t="shared" si="49"/>
        <v>35073698.477436028</v>
      </c>
      <c r="J90" s="5">
        <f t="shared" si="49"/>
        <v>35073698.477436028</v>
      </c>
      <c r="K90" s="5">
        <f t="shared" si="49"/>
        <v>35073698.477436028</v>
      </c>
      <c r="L90" s="5"/>
    </row>
    <row r="91" spans="1:12" x14ac:dyDescent="0.25">
      <c r="B91" s="16">
        <f>B90/$B$76</f>
        <v>0.4020524656546568</v>
      </c>
      <c r="C91" s="5"/>
      <c r="D91" s="5"/>
      <c r="E91" s="5"/>
      <c r="F91" s="5"/>
      <c r="G91" s="5"/>
      <c r="H91" s="5"/>
      <c r="I91" s="5"/>
      <c r="J91" s="5"/>
      <c r="K91" s="5"/>
      <c r="L91" s="5"/>
    </row>
    <row r="93" spans="1:12" ht="30" x14ac:dyDescent="0.25">
      <c r="A93" s="15" t="s">
        <v>57</v>
      </c>
      <c r="B93" s="12" t="str">
        <f>'Summary dashboard'!C4</f>
        <v>2023</v>
      </c>
      <c r="C93" s="12">
        <f t="shared" ref="C93" si="50">B93+1</f>
        <v>2024</v>
      </c>
      <c r="D93" s="12">
        <f t="shared" ref="D93" si="51">C93+1</f>
        <v>2025</v>
      </c>
      <c r="E93" s="12">
        <f t="shared" ref="E93" si="52">D93+1</f>
        <v>2026</v>
      </c>
      <c r="F93" s="12">
        <f t="shared" ref="F93" si="53">E93+1</f>
        <v>2027</v>
      </c>
      <c r="G93" s="12">
        <f t="shared" ref="G93" si="54">F93+1</f>
        <v>2028</v>
      </c>
      <c r="H93" s="12">
        <f t="shared" ref="H93" si="55">G93+1</f>
        <v>2029</v>
      </c>
      <c r="I93" s="12">
        <f t="shared" ref="I93" si="56">H93+1</f>
        <v>2030</v>
      </c>
      <c r="J93" s="12">
        <f t="shared" ref="J93" si="57">I93+1</f>
        <v>2031</v>
      </c>
      <c r="K93" s="12">
        <f t="shared" ref="K93" si="58">J93+1</f>
        <v>2032</v>
      </c>
      <c r="L93" s="1" t="s">
        <v>28</v>
      </c>
    </row>
    <row r="94" spans="1:12" x14ac:dyDescent="0.25">
      <c r="A94" s="4" t="s">
        <v>35</v>
      </c>
      <c r="B94" s="32">
        <f>IF(INDEX(E_budgeted!$B$3:$G$13,MATCH($A94,E_budgeted!$A$3:$A$13,0),MATCH($A$62,E_budgeted!$B$2:$G$2,0))&gt;0,MIN('Inkomati-Pongola CMA'!B73,E_budgeted!B130),'Inkomati-Pongola CMA'!B73)</f>
        <v>4194474.3114505224</v>
      </c>
      <c r="C94" s="32">
        <f>IF(INDEX(E_budgeted!$B$3:$G$13,MATCH($A94,E_budgeted!$A$3:$A$13,0),MATCH($A$62,E_budgeted!$B$2:$G$2,0))&gt;0,MIN('Inkomati-Pongola CMA'!C73,E_budgeted!C130),'Inkomati-Pongola CMA'!C73)</f>
        <v>4194474.3114505224</v>
      </c>
      <c r="D94" s="32">
        <f>IF(INDEX(E_budgeted!$B$3:$G$13,MATCH($A94,E_budgeted!$A$3:$A$13,0),MATCH($A$62,E_budgeted!$B$2:$G$2,0))&gt;0,MIN('Inkomati-Pongola CMA'!D73,E_budgeted!D130),'Inkomati-Pongola CMA'!D73)</f>
        <v>4194474.3114505224</v>
      </c>
      <c r="E94" s="32">
        <f>IF(INDEX(E_budgeted!$B$3:$G$13,MATCH($A94,E_budgeted!$A$3:$A$13,0),MATCH($A$62,E_budgeted!$B$2:$G$2,0))&gt;0,MIN('Inkomati-Pongola CMA'!E73,E_budgeted!E130),'Inkomati-Pongola CMA'!E73)</f>
        <v>4194474.3114505224</v>
      </c>
      <c r="F94" s="32">
        <f>IF(INDEX(E_budgeted!$B$3:$G$13,MATCH($A94,E_budgeted!$A$3:$A$13,0),MATCH($A$62,E_budgeted!$B$2:$G$2,0))&gt;0,MIN('Inkomati-Pongola CMA'!F73,E_budgeted!F130),'Inkomati-Pongola CMA'!F73)</f>
        <v>4194474.3114505224</v>
      </c>
      <c r="G94" s="32">
        <f>IF(INDEX(E_budgeted!$B$3:$G$13,MATCH($A94,E_budgeted!$A$3:$A$13,0),MATCH($A$62,E_budgeted!$B$2:$G$2,0))&gt;0,MIN('Inkomati-Pongola CMA'!G73,E_budgeted!G130),'Inkomati-Pongola CMA'!G73)</f>
        <v>4194474.3114505224</v>
      </c>
      <c r="H94" s="32">
        <f>IF(INDEX(E_budgeted!$B$3:$G$13,MATCH($A94,E_budgeted!$A$3:$A$13,0),MATCH($A$62,E_budgeted!$B$2:$G$2,0))&gt;0,MIN('Inkomati-Pongola CMA'!H73,E_budgeted!H130),'Inkomati-Pongola CMA'!H73)</f>
        <v>4194474.3114505224</v>
      </c>
      <c r="I94" s="32">
        <f>IF(INDEX(E_budgeted!$B$3:$G$13,MATCH($A94,E_budgeted!$A$3:$A$13,0),MATCH($A$62,E_budgeted!$B$2:$G$2,0))&gt;0,MIN('Inkomati-Pongola CMA'!I73,E_budgeted!I130),'Inkomati-Pongola CMA'!I73)</f>
        <v>4194474.3114505224</v>
      </c>
      <c r="J94" s="32">
        <f>IF(INDEX(E_budgeted!$B$3:$G$13,MATCH($A94,E_budgeted!$A$3:$A$13,0),MATCH($A$62,E_budgeted!$B$2:$G$2,0))&gt;0,MIN('Inkomati-Pongola CMA'!J73,E_budgeted!J130),'Inkomati-Pongola CMA'!J73)</f>
        <v>4194474.3114505224</v>
      </c>
      <c r="K94" s="32">
        <f>IF(INDEX(E_budgeted!$B$3:$G$13,MATCH($A94,E_budgeted!$A$3:$A$13,0),MATCH($A$62,E_budgeted!$B$2:$G$2,0))&gt;0,MIN('Inkomati-Pongola CMA'!K73,E_budgeted!K130),'Inkomati-Pongola CMA'!K73)</f>
        <v>4194474.3114505224</v>
      </c>
      <c r="L94" s="5">
        <f>AVERAGE(B94:K94)</f>
        <v>4194474.3114505233</v>
      </c>
    </row>
    <row r="95" spans="1:12" x14ac:dyDescent="0.25">
      <c r="A95" s="4" t="s">
        <v>36</v>
      </c>
      <c r="B95" s="32">
        <f>IF(INDEX(E_budgeted!$B$3:$G$13,MATCH($A95,E_budgeted!$A$3:$A$13,0),MATCH($A$62,E_budgeted!$B$2:$G$2,0))&gt;0,MIN('Inkomati-Pongola CMA'!B74,E_budgeted!B131),'Inkomati-Pongola CMA'!B74)</f>
        <v>403393.20344927814</v>
      </c>
      <c r="C95" s="32">
        <f>IF(INDEX(E_budgeted!$B$3:$G$13,MATCH($A95,E_budgeted!$A$3:$A$13,0),MATCH($A$62,E_budgeted!$B$2:$G$2,0))&gt;0,MIN('Inkomati-Pongola CMA'!C74,E_budgeted!C131),'Inkomati-Pongola CMA'!C74)</f>
        <v>403393.20344927814</v>
      </c>
      <c r="D95" s="32">
        <f>IF(INDEX(E_budgeted!$B$3:$G$13,MATCH($A95,E_budgeted!$A$3:$A$13,0),MATCH($A$62,E_budgeted!$B$2:$G$2,0))&gt;0,MIN('Inkomati-Pongola CMA'!D74,E_budgeted!D131),'Inkomati-Pongola CMA'!D74)</f>
        <v>403393.20344927814</v>
      </c>
      <c r="E95" s="32">
        <f>IF(INDEX(E_budgeted!$B$3:$G$13,MATCH($A95,E_budgeted!$A$3:$A$13,0),MATCH($A$62,E_budgeted!$B$2:$G$2,0))&gt;0,MIN('Inkomati-Pongola CMA'!E74,E_budgeted!E131),'Inkomati-Pongola CMA'!E74)</f>
        <v>403393.20344927814</v>
      </c>
      <c r="F95" s="32">
        <f>IF(INDEX(E_budgeted!$B$3:$G$13,MATCH($A95,E_budgeted!$A$3:$A$13,0),MATCH($A$62,E_budgeted!$B$2:$G$2,0))&gt;0,MIN('Inkomati-Pongola CMA'!F74,E_budgeted!F131),'Inkomati-Pongola CMA'!F74)</f>
        <v>403393.20344927814</v>
      </c>
      <c r="G95" s="32">
        <f>IF(INDEX(E_budgeted!$B$3:$G$13,MATCH($A95,E_budgeted!$A$3:$A$13,0),MATCH($A$62,E_budgeted!$B$2:$G$2,0))&gt;0,MIN('Inkomati-Pongola CMA'!G74,E_budgeted!G131),'Inkomati-Pongola CMA'!G74)</f>
        <v>403393.20344927814</v>
      </c>
      <c r="H95" s="32">
        <f>IF(INDEX(E_budgeted!$B$3:$G$13,MATCH($A95,E_budgeted!$A$3:$A$13,0),MATCH($A$62,E_budgeted!$B$2:$G$2,0))&gt;0,MIN('Inkomati-Pongola CMA'!H74,E_budgeted!H131),'Inkomati-Pongola CMA'!H74)</f>
        <v>403393.20344927814</v>
      </c>
      <c r="I95" s="32">
        <f>IF(INDEX(E_budgeted!$B$3:$G$13,MATCH($A95,E_budgeted!$A$3:$A$13,0),MATCH($A$62,E_budgeted!$B$2:$G$2,0))&gt;0,MIN('Inkomati-Pongola CMA'!I74,E_budgeted!I131),'Inkomati-Pongola CMA'!I74)</f>
        <v>403393.20344927814</v>
      </c>
      <c r="J95" s="32">
        <f>IF(INDEX(E_budgeted!$B$3:$G$13,MATCH($A95,E_budgeted!$A$3:$A$13,0),MATCH($A$62,E_budgeted!$B$2:$G$2,0))&gt;0,MIN('Inkomati-Pongola CMA'!J74,E_budgeted!J131),'Inkomati-Pongola CMA'!J74)</f>
        <v>403393.20344927814</v>
      </c>
      <c r="K95" s="32">
        <f>IF(INDEX(E_budgeted!$B$3:$G$13,MATCH($A95,E_budgeted!$A$3:$A$13,0),MATCH($A$62,E_budgeted!$B$2:$G$2,0))&gt;0,MIN('Inkomati-Pongola CMA'!K74,E_budgeted!K131),'Inkomati-Pongola CMA'!K74)</f>
        <v>403393.20344927814</v>
      </c>
      <c r="L95" s="5">
        <f t="shared" ref="L95:L104" si="59">AVERAGE(B95:K95)</f>
        <v>403393.20344927814</v>
      </c>
    </row>
    <row r="96" spans="1:12" x14ac:dyDescent="0.25">
      <c r="A96" s="4" t="s">
        <v>11</v>
      </c>
      <c r="B96" s="32">
        <f>IF(INDEX(E_budgeted!$B$3:$G$13,MATCH($A96,E_budgeted!$A$3:$A$13,0),MATCH($A$62,E_budgeted!$B$2:$G$2,0))&gt;0,MIN('Inkomati-Pongola CMA'!B75,E_budgeted!B132),'Inkomati-Pongola CMA'!B75)</f>
        <v>0</v>
      </c>
      <c r="C96" s="32">
        <f>IF(INDEX(E_budgeted!$B$3:$G$13,MATCH($A96,E_budgeted!$A$3:$A$13,0),MATCH($A$62,E_budgeted!$B$2:$G$2,0))&gt;0,MIN('Inkomati-Pongola CMA'!C75,E_budgeted!C132),'Inkomati-Pongola CMA'!C75)</f>
        <v>0</v>
      </c>
      <c r="D96" s="32">
        <f>IF(INDEX(E_budgeted!$B$3:$G$13,MATCH($A96,E_budgeted!$A$3:$A$13,0),MATCH($A$62,E_budgeted!$B$2:$G$2,0))&gt;0,MIN('Inkomati-Pongola CMA'!D75,E_budgeted!D132),'Inkomati-Pongola CMA'!D75)</f>
        <v>0</v>
      </c>
      <c r="E96" s="32">
        <f>IF(INDEX(E_budgeted!$B$3:$G$13,MATCH($A96,E_budgeted!$A$3:$A$13,0),MATCH($A$62,E_budgeted!$B$2:$G$2,0))&gt;0,MIN('Inkomati-Pongola CMA'!E75,E_budgeted!E132),'Inkomati-Pongola CMA'!E75)</f>
        <v>0</v>
      </c>
      <c r="F96" s="32">
        <f>IF(INDEX(E_budgeted!$B$3:$G$13,MATCH($A96,E_budgeted!$A$3:$A$13,0),MATCH($A$62,E_budgeted!$B$2:$G$2,0))&gt;0,MIN('Inkomati-Pongola CMA'!F75,E_budgeted!F132),'Inkomati-Pongola CMA'!F75)</f>
        <v>0</v>
      </c>
      <c r="G96" s="32">
        <f>IF(INDEX(E_budgeted!$B$3:$G$13,MATCH($A96,E_budgeted!$A$3:$A$13,0),MATCH($A$62,E_budgeted!$B$2:$G$2,0))&gt;0,MIN('Inkomati-Pongola CMA'!G75,E_budgeted!G132),'Inkomati-Pongola CMA'!G75)</f>
        <v>0</v>
      </c>
      <c r="H96" s="32">
        <f>IF(INDEX(E_budgeted!$B$3:$G$13,MATCH($A96,E_budgeted!$A$3:$A$13,0),MATCH($A$62,E_budgeted!$B$2:$G$2,0))&gt;0,MIN('Inkomati-Pongola CMA'!H75,E_budgeted!H132),'Inkomati-Pongola CMA'!H75)</f>
        <v>0</v>
      </c>
      <c r="I96" s="32">
        <f>IF(INDEX(E_budgeted!$B$3:$G$13,MATCH($A96,E_budgeted!$A$3:$A$13,0),MATCH($A$62,E_budgeted!$B$2:$G$2,0))&gt;0,MIN('Inkomati-Pongola CMA'!I75,E_budgeted!I132),'Inkomati-Pongola CMA'!I75)</f>
        <v>0</v>
      </c>
      <c r="J96" s="32">
        <f>IF(INDEX(E_budgeted!$B$3:$G$13,MATCH($A96,E_budgeted!$A$3:$A$13,0),MATCH($A$62,E_budgeted!$B$2:$G$2,0))&gt;0,MIN('Inkomati-Pongola CMA'!J75,E_budgeted!J132),'Inkomati-Pongola CMA'!J75)</f>
        <v>0</v>
      </c>
      <c r="K96" s="32">
        <f>IF(INDEX(E_budgeted!$B$3:$G$13,MATCH($A96,E_budgeted!$A$3:$A$13,0),MATCH($A$62,E_budgeted!$B$2:$G$2,0))&gt;0,MIN('Inkomati-Pongola CMA'!K75,E_budgeted!K132),'Inkomati-Pongola CMA'!K75)</f>
        <v>0</v>
      </c>
      <c r="L96" s="5">
        <f t="shared" si="59"/>
        <v>0</v>
      </c>
    </row>
    <row r="97" spans="1:12" x14ac:dyDescent="0.25">
      <c r="A97" s="4" t="s">
        <v>124</v>
      </c>
      <c r="B97" s="32">
        <f>IF(INDEX(E_budgeted!$B$3:$G$13,MATCH($A97,E_budgeted!$A$3:$A$13,0),MATCH($A$62,E_budgeted!$B$2:$G$2,0))&gt;0,MIN('Inkomati-Pongola CMA'!B76,E_budgeted!B133),'Inkomati-Pongola CMA'!B76)</f>
        <v>415442.29736244754</v>
      </c>
      <c r="C97" s="32">
        <f>IF(INDEX(E_budgeted!$B$3:$G$13,MATCH($A97,E_budgeted!$A$3:$A$13,0),MATCH($A$62,E_budgeted!$B$2:$G$2,0))&gt;0,MIN('Inkomati-Pongola CMA'!C76,E_budgeted!C133),'Inkomati-Pongola CMA'!C76)</f>
        <v>415442.29736244754</v>
      </c>
      <c r="D97" s="32">
        <f>IF(INDEX(E_budgeted!$B$3:$G$13,MATCH($A97,E_budgeted!$A$3:$A$13,0),MATCH($A$62,E_budgeted!$B$2:$G$2,0))&gt;0,MIN('Inkomati-Pongola CMA'!D76,E_budgeted!D133),'Inkomati-Pongola CMA'!D76)</f>
        <v>415442.29736244754</v>
      </c>
      <c r="E97" s="32">
        <f>IF(INDEX(E_budgeted!$B$3:$G$13,MATCH($A97,E_budgeted!$A$3:$A$13,0),MATCH($A$62,E_budgeted!$B$2:$G$2,0))&gt;0,MIN('Inkomati-Pongola CMA'!E76,E_budgeted!E133),'Inkomati-Pongola CMA'!E76)</f>
        <v>415442.29736244754</v>
      </c>
      <c r="F97" s="32">
        <f>IF(INDEX(E_budgeted!$B$3:$G$13,MATCH($A97,E_budgeted!$A$3:$A$13,0),MATCH($A$62,E_budgeted!$B$2:$G$2,0))&gt;0,MIN('Inkomati-Pongola CMA'!F76,E_budgeted!F133),'Inkomati-Pongola CMA'!F76)</f>
        <v>415442.29736244754</v>
      </c>
      <c r="G97" s="32">
        <f>IF(INDEX(E_budgeted!$B$3:$G$13,MATCH($A97,E_budgeted!$A$3:$A$13,0),MATCH($A$62,E_budgeted!$B$2:$G$2,0))&gt;0,MIN('Inkomati-Pongola CMA'!G76,E_budgeted!G133),'Inkomati-Pongola CMA'!G76)</f>
        <v>415442.29736244754</v>
      </c>
      <c r="H97" s="32">
        <f>IF(INDEX(E_budgeted!$B$3:$G$13,MATCH($A97,E_budgeted!$A$3:$A$13,0),MATCH($A$62,E_budgeted!$B$2:$G$2,0))&gt;0,MIN('Inkomati-Pongola CMA'!H76,E_budgeted!H133),'Inkomati-Pongola CMA'!H76)</f>
        <v>415442.29736244754</v>
      </c>
      <c r="I97" s="32">
        <f>IF(INDEX(E_budgeted!$B$3:$G$13,MATCH($A97,E_budgeted!$A$3:$A$13,0),MATCH($A$62,E_budgeted!$B$2:$G$2,0))&gt;0,MIN('Inkomati-Pongola CMA'!I76,E_budgeted!I133),'Inkomati-Pongola CMA'!I76)</f>
        <v>415442.29736244754</v>
      </c>
      <c r="J97" s="32">
        <f>IF(INDEX(E_budgeted!$B$3:$G$13,MATCH($A97,E_budgeted!$A$3:$A$13,0),MATCH($A$62,E_budgeted!$B$2:$G$2,0))&gt;0,MIN('Inkomati-Pongola CMA'!J76,E_budgeted!J133),'Inkomati-Pongola CMA'!J76)</f>
        <v>415442.29736244754</v>
      </c>
      <c r="K97" s="32">
        <f>IF(INDEX(E_budgeted!$B$3:$G$13,MATCH($A97,E_budgeted!$A$3:$A$13,0),MATCH($A$62,E_budgeted!$B$2:$G$2,0))&gt;0,MIN('Inkomati-Pongola CMA'!K76,E_budgeted!K133),'Inkomati-Pongola CMA'!K76)</f>
        <v>415442.29736244754</v>
      </c>
      <c r="L97" s="5">
        <f t="shared" si="59"/>
        <v>415442.2973624476</v>
      </c>
    </row>
    <row r="98" spans="1:12" x14ac:dyDescent="0.25">
      <c r="A98" s="4" t="s">
        <v>12</v>
      </c>
      <c r="B98" s="32">
        <f>IF(INDEX(E_budgeted!$B$3:$G$13,MATCH($A98,E_budgeted!$A$3:$A$13,0),MATCH($A$62,E_budgeted!$B$2:$G$2,0))&gt;0,MIN('Inkomati-Pongola CMA'!B77,E_budgeted!B134),'Inkomati-Pongola CMA'!B77)</f>
        <v>0</v>
      </c>
      <c r="C98" s="32">
        <f>IF(INDEX(E_budgeted!$B$3:$G$13,MATCH($A98,E_budgeted!$A$3:$A$13,0),MATCH($A$62,E_budgeted!$B$2:$G$2,0))&gt;0,MIN('Inkomati-Pongola CMA'!C77,E_budgeted!C134),'Inkomati-Pongola CMA'!C77)</f>
        <v>0</v>
      </c>
      <c r="D98" s="32">
        <f>IF(INDEX(E_budgeted!$B$3:$G$13,MATCH($A98,E_budgeted!$A$3:$A$13,0),MATCH($A$62,E_budgeted!$B$2:$G$2,0))&gt;0,MIN('Inkomati-Pongola CMA'!D77,E_budgeted!D134),'Inkomati-Pongola CMA'!D77)</f>
        <v>0</v>
      </c>
      <c r="E98" s="32">
        <f>IF(INDEX(E_budgeted!$B$3:$G$13,MATCH($A98,E_budgeted!$A$3:$A$13,0),MATCH($A$62,E_budgeted!$B$2:$G$2,0))&gt;0,MIN('Inkomati-Pongola CMA'!E77,E_budgeted!E134),'Inkomati-Pongola CMA'!E77)</f>
        <v>0</v>
      </c>
      <c r="F98" s="32">
        <f>IF(INDEX(E_budgeted!$B$3:$G$13,MATCH($A98,E_budgeted!$A$3:$A$13,0),MATCH($A$62,E_budgeted!$B$2:$G$2,0))&gt;0,MIN('Inkomati-Pongola CMA'!F77,E_budgeted!F134),'Inkomati-Pongola CMA'!F77)</f>
        <v>0</v>
      </c>
      <c r="G98" s="32">
        <f>IF(INDEX(E_budgeted!$B$3:$G$13,MATCH($A98,E_budgeted!$A$3:$A$13,0),MATCH($A$62,E_budgeted!$B$2:$G$2,0))&gt;0,MIN('Inkomati-Pongola CMA'!G77,E_budgeted!G134),'Inkomati-Pongola CMA'!G77)</f>
        <v>0</v>
      </c>
      <c r="H98" s="32">
        <f>IF(INDEX(E_budgeted!$B$3:$G$13,MATCH($A98,E_budgeted!$A$3:$A$13,0),MATCH($A$62,E_budgeted!$B$2:$G$2,0))&gt;0,MIN('Inkomati-Pongola CMA'!H77,E_budgeted!H134),'Inkomati-Pongola CMA'!H77)</f>
        <v>0</v>
      </c>
      <c r="I98" s="32">
        <f>IF(INDEX(E_budgeted!$B$3:$G$13,MATCH($A98,E_budgeted!$A$3:$A$13,0),MATCH($A$62,E_budgeted!$B$2:$G$2,0))&gt;0,MIN('Inkomati-Pongola CMA'!I77,E_budgeted!I134),'Inkomati-Pongola CMA'!I77)</f>
        <v>0</v>
      </c>
      <c r="J98" s="32">
        <f>IF(INDEX(E_budgeted!$B$3:$G$13,MATCH($A98,E_budgeted!$A$3:$A$13,0),MATCH($A$62,E_budgeted!$B$2:$G$2,0))&gt;0,MIN('Inkomati-Pongola CMA'!J77,E_budgeted!J134),'Inkomati-Pongola CMA'!J77)</f>
        <v>0</v>
      </c>
      <c r="K98" s="32">
        <f>IF(INDEX(E_budgeted!$B$3:$G$13,MATCH($A98,E_budgeted!$A$3:$A$13,0),MATCH($A$62,E_budgeted!$B$2:$G$2,0))&gt;0,MIN('Inkomati-Pongola CMA'!K77,E_budgeted!K134),'Inkomati-Pongola CMA'!K77)</f>
        <v>0</v>
      </c>
      <c r="L98" s="5">
        <f t="shared" si="59"/>
        <v>0</v>
      </c>
    </row>
    <row r="99" spans="1:12" x14ac:dyDescent="0.25">
      <c r="A99" s="4" t="s">
        <v>13</v>
      </c>
      <c r="B99" s="32">
        <f>IF(INDEX(E_budgeted!$B$3:$G$13,MATCH($A99,E_budgeted!$A$3:$A$13,0),MATCH($A$62,E_budgeted!$B$2:$G$2,0))&gt;0,MIN('Inkomati-Pongola CMA'!B78,E_budgeted!B135),'Inkomati-Pongola CMA'!B78)</f>
        <v>0</v>
      </c>
      <c r="C99" s="32">
        <f>IF(INDEX(E_budgeted!$B$3:$G$13,MATCH($A99,E_budgeted!$A$3:$A$13,0),MATCH($A$62,E_budgeted!$B$2:$G$2,0))&gt;0,MIN('Inkomati-Pongola CMA'!C78,E_budgeted!C135),'Inkomati-Pongola CMA'!C78)</f>
        <v>0</v>
      </c>
      <c r="D99" s="32">
        <f>IF(INDEX(E_budgeted!$B$3:$G$13,MATCH($A99,E_budgeted!$A$3:$A$13,0),MATCH($A$62,E_budgeted!$B$2:$G$2,0))&gt;0,MIN('Inkomati-Pongola CMA'!D78,E_budgeted!D135),'Inkomati-Pongola CMA'!D78)</f>
        <v>0</v>
      </c>
      <c r="E99" s="32">
        <f>IF(INDEX(E_budgeted!$B$3:$G$13,MATCH($A99,E_budgeted!$A$3:$A$13,0),MATCH($A$62,E_budgeted!$B$2:$G$2,0))&gt;0,MIN('Inkomati-Pongola CMA'!E78,E_budgeted!E135),'Inkomati-Pongola CMA'!E78)</f>
        <v>0</v>
      </c>
      <c r="F99" s="32">
        <f>IF(INDEX(E_budgeted!$B$3:$G$13,MATCH($A99,E_budgeted!$A$3:$A$13,0),MATCH($A$62,E_budgeted!$B$2:$G$2,0))&gt;0,MIN('Inkomati-Pongola CMA'!F78,E_budgeted!F135),'Inkomati-Pongola CMA'!F78)</f>
        <v>0</v>
      </c>
      <c r="G99" s="32">
        <f>IF(INDEX(E_budgeted!$B$3:$G$13,MATCH($A99,E_budgeted!$A$3:$A$13,0),MATCH($A$62,E_budgeted!$B$2:$G$2,0))&gt;0,MIN('Inkomati-Pongola CMA'!G78,E_budgeted!G135),'Inkomati-Pongola CMA'!G78)</f>
        <v>0</v>
      </c>
      <c r="H99" s="32">
        <f>IF(INDEX(E_budgeted!$B$3:$G$13,MATCH($A99,E_budgeted!$A$3:$A$13,0),MATCH($A$62,E_budgeted!$B$2:$G$2,0))&gt;0,MIN('Inkomati-Pongola CMA'!H78,E_budgeted!H135),'Inkomati-Pongola CMA'!H78)</f>
        <v>0</v>
      </c>
      <c r="I99" s="32">
        <f>IF(INDEX(E_budgeted!$B$3:$G$13,MATCH($A99,E_budgeted!$A$3:$A$13,0),MATCH($A$62,E_budgeted!$B$2:$G$2,0))&gt;0,MIN('Inkomati-Pongola CMA'!I78,E_budgeted!I135),'Inkomati-Pongola CMA'!I78)</f>
        <v>0</v>
      </c>
      <c r="J99" s="32">
        <f>IF(INDEX(E_budgeted!$B$3:$G$13,MATCH($A99,E_budgeted!$A$3:$A$13,0),MATCH($A$62,E_budgeted!$B$2:$G$2,0))&gt;0,MIN('Inkomati-Pongola CMA'!J78,E_budgeted!J135),'Inkomati-Pongola CMA'!J78)</f>
        <v>0</v>
      </c>
      <c r="K99" s="32">
        <f>IF(INDEX(E_budgeted!$B$3:$G$13,MATCH($A99,E_budgeted!$A$3:$A$13,0),MATCH($A$62,E_budgeted!$B$2:$G$2,0))&gt;0,MIN('Inkomati-Pongola CMA'!K78,E_budgeted!K135),'Inkomati-Pongola CMA'!K78)</f>
        <v>0</v>
      </c>
      <c r="L99" s="5">
        <f t="shared" si="59"/>
        <v>0</v>
      </c>
    </row>
    <row r="100" spans="1:12" x14ac:dyDescent="0.25">
      <c r="A100" s="4" t="s">
        <v>14</v>
      </c>
      <c r="B100" s="32">
        <f>IF(INDEX(E_budgeted!$B$3:$G$13,MATCH($A100,E_budgeted!$A$3:$A$13,0),MATCH($A$62,E_budgeted!$B$2:$G$2,0))&gt;0,MIN('Inkomati-Pongola CMA'!B79,E_budgeted!B136),'Inkomati-Pongola CMA'!B79)</f>
        <v>0</v>
      </c>
      <c r="C100" s="32">
        <f>IF(INDEX(E_budgeted!$B$3:$G$13,MATCH($A100,E_budgeted!$A$3:$A$13,0),MATCH($A$62,E_budgeted!$B$2:$G$2,0))&gt;0,MIN('Inkomati-Pongola CMA'!C79,E_budgeted!C136),'Inkomati-Pongola CMA'!C79)</f>
        <v>0</v>
      </c>
      <c r="D100" s="32">
        <f>IF(INDEX(E_budgeted!$B$3:$G$13,MATCH($A100,E_budgeted!$A$3:$A$13,0),MATCH($A$62,E_budgeted!$B$2:$G$2,0))&gt;0,MIN('Inkomati-Pongola CMA'!D79,E_budgeted!D136),'Inkomati-Pongola CMA'!D79)</f>
        <v>0</v>
      </c>
      <c r="E100" s="32">
        <f>IF(INDEX(E_budgeted!$B$3:$G$13,MATCH($A100,E_budgeted!$A$3:$A$13,0),MATCH($A$62,E_budgeted!$B$2:$G$2,0))&gt;0,MIN('Inkomati-Pongola CMA'!E79,E_budgeted!E136),'Inkomati-Pongola CMA'!E79)</f>
        <v>0</v>
      </c>
      <c r="F100" s="32">
        <f>IF(INDEX(E_budgeted!$B$3:$G$13,MATCH($A100,E_budgeted!$A$3:$A$13,0),MATCH($A$62,E_budgeted!$B$2:$G$2,0))&gt;0,MIN('Inkomati-Pongola CMA'!F79,E_budgeted!F136),'Inkomati-Pongola CMA'!F79)</f>
        <v>0</v>
      </c>
      <c r="G100" s="32">
        <f>IF(INDEX(E_budgeted!$B$3:$G$13,MATCH($A100,E_budgeted!$A$3:$A$13,0),MATCH($A$62,E_budgeted!$B$2:$G$2,0))&gt;0,MIN('Inkomati-Pongola CMA'!G79,E_budgeted!G136),'Inkomati-Pongola CMA'!G79)</f>
        <v>0</v>
      </c>
      <c r="H100" s="32">
        <f>IF(INDEX(E_budgeted!$B$3:$G$13,MATCH($A100,E_budgeted!$A$3:$A$13,0),MATCH($A$62,E_budgeted!$B$2:$G$2,0))&gt;0,MIN('Inkomati-Pongola CMA'!H79,E_budgeted!H136),'Inkomati-Pongola CMA'!H79)</f>
        <v>0</v>
      </c>
      <c r="I100" s="32">
        <f>IF(INDEX(E_budgeted!$B$3:$G$13,MATCH($A100,E_budgeted!$A$3:$A$13,0),MATCH($A$62,E_budgeted!$B$2:$G$2,0))&gt;0,MIN('Inkomati-Pongola CMA'!I79,E_budgeted!I136),'Inkomati-Pongola CMA'!I79)</f>
        <v>0</v>
      </c>
      <c r="J100" s="32">
        <f>IF(INDEX(E_budgeted!$B$3:$G$13,MATCH($A100,E_budgeted!$A$3:$A$13,0),MATCH($A$62,E_budgeted!$B$2:$G$2,0))&gt;0,MIN('Inkomati-Pongola CMA'!J79,E_budgeted!J136),'Inkomati-Pongola CMA'!J79)</f>
        <v>0</v>
      </c>
      <c r="K100" s="32">
        <f>IF(INDEX(E_budgeted!$B$3:$G$13,MATCH($A100,E_budgeted!$A$3:$A$13,0),MATCH($A$62,E_budgeted!$B$2:$G$2,0))&gt;0,MIN('Inkomati-Pongola CMA'!K79,E_budgeted!K136),'Inkomati-Pongola CMA'!K79)</f>
        <v>0</v>
      </c>
      <c r="L100" s="5">
        <f t="shared" si="59"/>
        <v>0</v>
      </c>
    </row>
    <row r="101" spans="1:12" x14ac:dyDescent="0.25">
      <c r="A101" s="4" t="s">
        <v>125</v>
      </c>
      <c r="B101" s="32">
        <f>IF(INDEX(E_budgeted!$B$3:$G$13,MATCH($A101,E_budgeted!$A$3:$A$13,0),MATCH($A$62,E_budgeted!$B$2:$G$2,0))&gt;0,MIN('Inkomati-Pongola CMA'!B80,E_budgeted!B137),'Inkomati-Pongola CMA'!B80)</f>
        <v>460302.00009642378</v>
      </c>
      <c r="C101" s="32">
        <f>IF(INDEX(E_budgeted!$B$3:$G$13,MATCH($A101,E_budgeted!$A$3:$A$13,0),MATCH($A$62,E_budgeted!$B$2:$G$2,0))&gt;0,MIN('Inkomati-Pongola CMA'!C80,E_budgeted!C137),'Inkomati-Pongola CMA'!C80)</f>
        <v>460302.00009642378</v>
      </c>
      <c r="D101" s="32">
        <f>IF(INDEX(E_budgeted!$B$3:$G$13,MATCH($A101,E_budgeted!$A$3:$A$13,0),MATCH($A$62,E_budgeted!$B$2:$G$2,0))&gt;0,MIN('Inkomati-Pongola CMA'!D80,E_budgeted!D137),'Inkomati-Pongola CMA'!D80)</f>
        <v>460302.00009642378</v>
      </c>
      <c r="E101" s="32">
        <f>IF(INDEX(E_budgeted!$B$3:$G$13,MATCH($A101,E_budgeted!$A$3:$A$13,0),MATCH($A$62,E_budgeted!$B$2:$G$2,0))&gt;0,MIN('Inkomati-Pongola CMA'!E80,E_budgeted!E137),'Inkomati-Pongola CMA'!E80)</f>
        <v>460302.00009642378</v>
      </c>
      <c r="F101" s="32">
        <f>IF(INDEX(E_budgeted!$B$3:$G$13,MATCH($A101,E_budgeted!$A$3:$A$13,0),MATCH($A$62,E_budgeted!$B$2:$G$2,0))&gt;0,MIN('Inkomati-Pongola CMA'!F80,E_budgeted!F137),'Inkomati-Pongola CMA'!F80)</f>
        <v>460302.00009642378</v>
      </c>
      <c r="G101" s="32">
        <f>IF(INDEX(E_budgeted!$B$3:$G$13,MATCH($A101,E_budgeted!$A$3:$A$13,0),MATCH($A$62,E_budgeted!$B$2:$G$2,0))&gt;0,MIN('Inkomati-Pongola CMA'!G80,E_budgeted!G137),'Inkomati-Pongola CMA'!G80)</f>
        <v>460302.00009642378</v>
      </c>
      <c r="H101" s="32">
        <f>IF(INDEX(E_budgeted!$B$3:$G$13,MATCH($A101,E_budgeted!$A$3:$A$13,0),MATCH($A$62,E_budgeted!$B$2:$G$2,0))&gt;0,MIN('Inkomati-Pongola CMA'!H80,E_budgeted!H137),'Inkomati-Pongola CMA'!H80)</f>
        <v>460302.00009642378</v>
      </c>
      <c r="I101" s="32">
        <f>IF(INDEX(E_budgeted!$B$3:$G$13,MATCH($A101,E_budgeted!$A$3:$A$13,0),MATCH($A$62,E_budgeted!$B$2:$G$2,0))&gt;0,MIN('Inkomati-Pongola CMA'!I80,E_budgeted!I137),'Inkomati-Pongola CMA'!I80)</f>
        <v>460302.00009642378</v>
      </c>
      <c r="J101" s="32">
        <f>IF(INDEX(E_budgeted!$B$3:$G$13,MATCH($A101,E_budgeted!$A$3:$A$13,0),MATCH($A$62,E_budgeted!$B$2:$G$2,0))&gt;0,MIN('Inkomati-Pongola CMA'!J80,E_budgeted!J137),'Inkomati-Pongola CMA'!J80)</f>
        <v>460302.00009642378</v>
      </c>
      <c r="K101" s="32">
        <f>IF(INDEX(E_budgeted!$B$3:$G$13,MATCH($A101,E_budgeted!$A$3:$A$13,0),MATCH($A$62,E_budgeted!$B$2:$G$2,0))&gt;0,MIN('Inkomati-Pongola CMA'!K80,E_budgeted!K137),'Inkomati-Pongola CMA'!K80)</f>
        <v>460302.00009642378</v>
      </c>
      <c r="L101" s="5">
        <f t="shared" si="59"/>
        <v>460302.00009642367</v>
      </c>
    </row>
    <row r="102" spans="1:12" x14ac:dyDescent="0.25">
      <c r="A102" s="4" t="s">
        <v>37</v>
      </c>
      <c r="B102" s="32">
        <f>IF(INDEX(E_budgeted!$B$3:$G$13,MATCH($A102,E_budgeted!$A$3:$A$13,0),MATCH($A$62,E_budgeted!$B$2:$G$2,0))&gt;0,MIN('Inkomati-Pongola CMA'!B81,E_budgeted!B138),'Inkomati-Pongola CMA'!B81)</f>
        <v>9595433.9016259499</v>
      </c>
      <c r="C102" s="32">
        <f>IF(INDEX(E_budgeted!$B$3:$G$13,MATCH($A102,E_budgeted!$A$3:$A$13,0),MATCH($A$62,E_budgeted!$B$2:$G$2,0))&gt;0,MIN('Inkomati-Pongola CMA'!C81,E_budgeted!C138),'Inkomati-Pongola CMA'!C81)</f>
        <v>9595433.9016259499</v>
      </c>
      <c r="D102" s="32">
        <f>IF(INDEX(E_budgeted!$B$3:$G$13,MATCH($A102,E_budgeted!$A$3:$A$13,0),MATCH($A$62,E_budgeted!$B$2:$G$2,0))&gt;0,MIN('Inkomati-Pongola CMA'!D81,E_budgeted!D138),'Inkomati-Pongola CMA'!D81)</f>
        <v>9595433.9016259499</v>
      </c>
      <c r="E102" s="32">
        <f>IF(INDEX(E_budgeted!$B$3:$G$13,MATCH($A102,E_budgeted!$A$3:$A$13,0),MATCH($A$62,E_budgeted!$B$2:$G$2,0))&gt;0,MIN('Inkomati-Pongola CMA'!E81,E_budgeted!E138),'Inkomati-Pongola CMA'!E81)</f>
        <v>9595433.9016259499</v>
      </c>
      <c r="F102" s="32">
        <f>IF(INDEX(E_budgeted!$B$3:$G$13,MATCH($A102,E_budgeted!$A$3:$A$13,0),MATCH($A$62,E_budgeted!$B$2:$G$2,0))&gt;0,MIN('Inkomati-Pongola CMA'!F81,E_budgeted!F138),'Inkomati-Pongola CMA'!F81)</f>
        <v>9595433.9016259499</v>
      </c>
      <c r="G102" s="32">
        <f>IF(INDEX(E_budgeted!$B$3:$G$13,MATCH($A102,E_budgeted!$A$3:$A$13,0),MATCH($A$62,E_budgeted!$B$2:$G$2,0))&gt;0,MIN('Inkomati-Pongola CMA'!G81,E_budgeted!G138),'Inkomati-Pongola CMA'!G81)</f>
        <v>9595433.9016259499</v>
      </c>
      <c r="H102" s="32">
        <f>IF(INDEX(E_budgeted!$B$3:$G$13,MATCH($A102,E_budgeted!$A$3:$A$13,0),MATCH($A$62,E_budgeted!$B$2:$G$2,0))&gt;0,MIN('Inkomati-Pongola CMA'!H81,E_budgeted!H138),'Inkomati-Pongola CMA'!H81)</f>
        <v>9595433.9016259499</v>
      </c>
      <c r="I102" s="32">
        <f>IF(INDEX(E_budgeted!$B$3:$G$13,MATCH($A102,E_budgeted!$A$3:$A$13,0),MATCH($A$62,E_budgeted!$B$2:$G$2,0))&gt;0,MIN('Inkomati-Pongola CMA'!I81,E_budgeted!I138),'Inkomati-Pongola CMA'!I81)</f>
        <v>9595433.9016259499</v>
      </c>
      <c r="J102" s="32">
        <f>IF(INDEX(E_budgeted!$B$3:$G$13,MATCH($A102,E_budgeted!$A$3:$A$13,0),MATCH($A$62,E_budgeted!$B$2:$G$2,0))&gt;0,MIN('Inkomati-Pongola CMA'!J81,E_budgeted!J138),'Inkomati-Pongola CMA'!J81)</f>
        <v>9595433.9016259499</v>
      </c>
      <c r="K102" s="32">
        <f>IF(INDEX(E_budgeted!$B$3:$G$13,MATCH($A102,E_budgeted!$A$3:$A$13,0),MATCH($A$62,E_budgeted!$B$2:$G$2,0))&gt;0,MIN('Inkomati-Pongola CMA'!K81,E_budgeted!K138),'Inkomati-Pongola CMA'!K81)</f>
        <v>9595433.9016259499</v>
      </c>
      <c r="L102" s="5">
        <f t="shared" si="59"/>
        <v>9595433.901625948</v>
      </c>
    </row>
    <row r="103" spans="1:12" x14ac:dyDescent="0.25">
      <c r="A103" s="4" t="s">
        <v>38</v>
      </c>
      <c r="B103" s="32">
        <f>IF(INDEX(E_budgeted!$B$3:$G$13,MATCH($A103,E_budgeted!$A$3:$A$13,0),MATCH($A$62,E_budgeted!$B$2:$G$2,0))&gt;0,MIN('Inkomati-Pongola CMA'!B82,E_budgeted!B139),'Inkomati-Pongola CMA'!B82)</f>
        <v>0</v>
      </c>
      <c r="C103" s="32">
        <f>IF(INDEX(E_budgeted!$B$3:$G$13,MATCH($A103,E_budgeted!$A$3:$A$13,0),MATCH($A$62,E_budgeted!$B$2:$G$2,0))&gt;0,MIN('Inkomati-Pongola CMA'!C82,E_budgeted!C139),'Inkomati-Pongola CMA'!C82)</f>
        <v>0</v>
      </c>
      <c r="D103" s="32">
        <f>IF(INDEX(E_budgeted!$B$3:$G$13,MATCH($A103,E_budgeted!$A$3:$A$13,0),MATCH($A$62,E_budgeted!$B$2:$G$2,0))&gt;0,MIN('Inkomati-Pongola CMA'!D82,E_budgeted!D139),'Inkomati-Pongola CMA'!D82)</f>
        <v>0</v>
      </c>
      <c r="E103" s="32">
        <f>IF(INDEX(E_budgeted!$B$3:$G$13,MATCH($A103,E_budgeted!$A$3:$A$13,0),MATCH($A$62,E_budgeted!$B$2:$G$2,0))&gt;0,MIN('Inkomati-Pongola CMA'!E82,E_budgeted!E139),'Inkomati-Pongola CMA'!E82)</f>
        <v>0</v>
      </c>
      <c r="F103" s="32">
        <f>IF(INDEX(E_budgeted!$B$3:$G$13,MATCH($A103,E_budgeted!$A$3:$A$13,0),MATCH($A$62,E_budgeted!$B$2:$G$2,0))&gt;0,MIN('Inkomati-Pongola CMA'!F82,E_budgeted!F139),'Inkomati-Pongola CMA'!F82)</f>
        <v>0</v>
      </c>
      <c r="G103" s="32">
        <f>IF(INDEX(E_budgeted!$B$3:$G$13,MATCH($A103,E_budgeted!$A$3:$A$13,0),MATCH($A$62,E_budgeted!$B$2:$G$2,0))&gt;0,MIN('Inkomati-Pongola CMA'!G82,E_budgeted!G139),'Inkomati-Pongola CMA'!G82)</f>
        <v>0</v>
      </c>
      <c r="H103" s="32">
        <f>IF(INDEX(E_budgeted!$B$3:$G$13,MATCH($A103,E_budgeted!$A$3:$A$13,0),MATCH($A$62,E_budgeted!$B$2:$G$2,0))&gt;0,MIN('Inkomati-Pongola CMA'!H82,E_budgeted!H139),'Inkomati-Pongola CMA'!H82)</f>
        <v>0</v>
      </c>
      <c r="I103" s="32">
        <f>IF(INDEX(E_budgeted!$B$3:$G$13,MATCH($A103,E_budgeted!$A$3:$A$13,0),MATCH($A$62,E_budgeted!$B$2:$G$2,0))&gt;0,MIN('Inkomati-Pongola CMA'!I82,E_budgeted!I139),'Inkomati-Pongola CMA'!I82)</f>
        <v>0</v>
      </c>
      <c r="J103" s="32">
        <f>IF(INDEX(E_budgeted!$B$3:$G$13,MATCH($A103,E_budgeted!$A$3:$A$13,0),MATCH($A$62,E_budgeted!$B$2:$G$2,0))&gt;0,MIN('Inkomati-Pongola CMA'!J82,E_budgeted!J139),'Inkomati-Pongola CMA'!J82)</f>
        <v>0</v>
      </c>
      <c r="K103" s="32">
        <f>IF(INDEX(E_budgeted!$B$3:$G$13,MATCH($A103,E_budgeted!$A$3:$A$13,0),MATCH($A$62,E_budgeted!$B$2:$G$2,0))&gt;0,MIN('Inkomati-Pongola CMA'!K82,E_budgeted!K139),'Inkomati-Pongola CMA'!K82)</f>
        <v>0</v>
      </c>
      <c r="L103" s="5">
        <f t="shared" si="59"/>
        <v>0</v>
      </c>
    </row>
    <row r="104" spans="1:12" x14ac:dyDescent="0.25">
      <c r="A104" s="4" t="s">
        <v>15</v>
      </c>
      <c r="B104" s="13">
        <f>IF(INDEX(E_budgeted!$B$3:$G$13,MATCH($A104,E_budgeted!$A$3:$A$13,0),MATCH($A$62,E_budgeted!$B$2:$G$2,0))&gt;0,MIN('Inkomati-Pongola CMA'!B83,E_budgeted!B140),'Inkomati-Pongola CMA'!B83)</f>
        <v>5176180.7715422753</v>
      </c>
      <c r="C104" s="13">
        <f>IF(INDEX(E_budgeted!$B$3:$G$13,MATCH($A104,E_budgeted!$A$3:$A$13,0),MATCH($A$62,E_budgeted!$B$2:$G$2,0))&gt;0,MIN('Inkomati-Pongola CMA'!C83,E_budgeted!C140),'Inkomati-Pongola CMA'!C83)</f>
        <v>5176180.7715422753</v>
      </c>
      <c r="D104" s="13">
        <f>IF(INDEX(E_budgeted!$B$3:$G$13,MATCH($A104,E_budgeted!$A$3:$A$13,0),MATCH($A$62,E_budgeted!$B$2:$G$2,0))&gt;0,MIN('Inkomati-Pongola CMA'!D83,E_budgeted!D140),'Inkomati-Pongola CMA'!D83)</f>
        <v>5176180.7715422753</v>
      </c>
      <c r="E104" s="13">
        <f>IF(INDEX(E_budgeted!$B$3:$G$13,MATCH($A104,E_budgeted!$A$3:$A$13,0),MATCH($A$62,E_budgeted!$B$2:$G$2,0))&gt;0,MIN('Inkomati-Pongola CMA'!E83,E_budgeted!E140),'Inkomati-Pongola CMA'!E83)</f>
        <v>5176180.7715422753</v>
      </c>
      <c r="F104" s="13">
        <f>IF(INDEX(E_budgeted!$B$3:$G$13,MATCH($A104,E_budgeted!$A$3:$A$13,0),MATCH($A$62,E_budgeted!$B$2:$G$2,0))&gt;0,MIN('Inkomati-Pongola CMA'!F83,E_budgeted!F140),'Inkomati-Pongola CMA'!F83)</f>
        <v>5176180.7715422753</v>
      </c>
      <c r="G104" s="13">
        <f>IF(INDEX(E_budgeted!$B$3:$G$13,MATCH($A104,E_budgeted!$A$3:$A$13,0),MATCH($A$62,E_budgeted!$B$2:$G$2,0))&gt;0,MIN('Inkomati-Pongola CMA'!G83,E_budgeted!G140),'Inkomati-Pongola CMA'!G83)</f>
        <v>5176180.7715422753</v>
      </c>
      <c r="H104" s="13">
        <f>IF(INDEX(E_budgeted!$B$3:$G$13,MATCH($A104,E_budgeted!$A$3:$A$13,0),MATCH($A$62,E_budgeted!$B$2:$G$2,0))&gt;0,MIN('Inkomati-Pongola CMA'!H83,E_budgeted!H140),'Inkomati-Pongola CMA'!H83)</f>
        <v>5176180.7715422753</v>
      </c>
      <c r="I104" s="13">
        <f>IF(INDEX(E_budgeted!$B$3:$G$13,MATCH($A104,E_budgeted!$A$3:$A$13,0),MATCH($A$62,E_budgeted!$B$2:$G$2,0))&gt;0,MIN('Inkomati-Pongola CMA'!I83,E_budgeted!I140),'Inkomati-Pongola CMA'!I83)</f>
        <v>5176180.7715422753</v>
      </c>
      <c r="J104" s="13">
        <f>IF(INDEX(E_budgeted!$B$3:$G$13,MATCH($A104,E_budgeted!$A$3:$A$13,0),MATCH($A$62,E_budgeted!$B$2:$G$2,0))&gt;0,MIN('Inkomati-Pongola CMA'!J83,E_budgeted!J140),'Inkomati-Pongola CMA'!J83)</f>
        <v>5176180.7715422753</v>
      </c>
      <c r="K104" s="13">
        <f>IF(INDEX(E_budgeted!$B$3:$G$13,MATCH($A104,E_budgeted!$A$3:$A$13,0),MATCH($A$62,E_budgeted!$B$2:$G$2,0))&gt;0,MIN('Inkomati-Pongola CMA'!K83,E_budgeted!K140),'Inkomati-Pongola CMA'!K83)</f>
        <v>5176180.7715422753</v>
      </c>
      <c r="L104" s="5">
        <f t="shared" si="59"/>
        <v>5176180.7715422744</v>
      </c>
    </row>
    <row r="105" spans="1:12" x14ac:dyDescent="0.25">
      <c r="B105" s="5">
        <f>SUM(B94:B104)</f>
        <v>20245226.485526897</v>
      </c>
      <c r="C105" s="5">
        <f t="shared" ref="C105:K105" si="60">SUM(C94:C104)</f>
        <v>20245226.485526897</v>
      </c>
      <c r="D105" s="5">
        <f t="shared" si="60"/>
        <v>20245226.485526897</v>
      </c>
      <c r="E105" s="5">
        <f t="shared" si="60"/>
        <v>20245226.485526897</v>
      </c>
      <c r="F105" s="5">
        <f t="shared" si="60"/>
        <v>20245226.485526897</v>
      </c>
      <c r="G105" s="5">
        <f t="shared" si="60"/>
        <v>20245226.485526897</v>
      </c>
      <c r="H105" s="5">
        <f t="shared" si="60"/>
        <v>20245226.485526897</v>
      </c>
      <c r="I105" s="5">
        <f t="shared" si="60"/>
        <v>20245226.485526897</v>
      </c>
      <c r="J105" s="5">
        <f t="shared" si="60"/>
        <v>20245226.485526897</v>
      </c>
      <c r="K105" s="5">
        <f t="shared" si="60"/>
        <v>20245226.485526897</v>
      </c>
      <c r="L105" s="5"/>
    </row>
    <row r="106" spans="1:12" x14ac:dyDescent="0.25">
      <c r="B106" s="16">
        <f>B105/$B$76</f>
        <v>0.23207256661225875</v>
      </c>
    </row>
    <row r="107" spans="1:12" ht="30" x14ac:dyDescent="0.25">
      <c r="A107" s="15" t="s">
        <v>94</v>
      </c>
      <c r="B107" s="12" t="str">
        <f>'Summary dashboard'!C4</f>
        <v>2023</v>
      </c>
      <c r="C107" s="12">
        <f t="shared" ref="C107" si="61">B107+1</f>
        <v>2024</v>
      </c>
      <c r="D107" s="12">
        <f t="shared" ref="D107" si="62">C107+1</f>
        <v>2025</v>
      </c>
      <c r="E107" s="12">
        <f t="shared" ref="E107" si="63">D107+1</f>
        <v>2026</v>
      </c>
      <c r="F107" s="12">
        <f t="shared" ref="F107" si="64">E107+1</f>
        <v>2027</v>
      </c>
      <c r="G107" s="12">
        <f t="shared" ref="G107" si="65">F107+1</f>
        <v>2028</v>
      </c>
      <c r="H107" s="12">
        <f t="shared" ref="H107" si="66">G107+1</f>
        <v>2029</v>
      </c>
      <c r="I107" s="12">
        <f t="shared" ref="I107" si="67">H107+1</f>
        <v>2030</v>
      </c>
      <c r="J107" s="12">
        <f t="shared" ref="J107" si="68">I107+1</f>
        <v>2031</v>
      </c>
      <c r="K107" s="12">
        <f t="shared" ref="K107" si="69">J107+1</f>
        <v>2032</v>
      </c>
      <c r="L107" s="1" t="s">
        <v>28</v>
      </c>
    </row>
    <row r="108" spans="1:12" x14ac:dyDescent="0.25">
      <c r="A108" s="4" t="s">
        <v>35</v>
      </c>
      <c r="B108" s="32">
        <f>IF(INDEX(E_budgeted!$B$3:$G$13,MATCH($A108,E_budgeted!$A$3:$A$13,0),MATCH($A$62,E_budgeted!$B$2:$G$2,0))&gt;0,MIN('Inkomati-Pongola CMA'!B87,E_budgeted!B144),'Inkomati-Pongola CMA'!B87)</f>
        <v>4930346.9976699119</v>
      </c>
      <c r="C108" s="32">
        <f>IF(INDEX(E_budgeted!$B$3:$G$13,MATCH($A108,E_budgeted!$A$3:$A$13,0),MATCH($A$62,E_budgeted!$B$2:$G$2,0))&gt;0,MIN('Inkomati-Pongola CMA'!C87,E_budgeted!C144),'Inkomati-Pongola CMA'!C87)</f>
        <v>4930346.9976699119</v>
      </c>
      <c r="D108" s="32">
        <f>IF(INDEX(E_budgeted!$B$3:$G$13,MATCH($A108,E_budgeted!$A$3:$A$13,0),MATCH($A$62,E_budgeted!$B$2:$G$2,0))&gt;0,MIN('Inkomati-Pongola CMA'!D87,E_budgeted!D144),'Inkomati-Pongola CMA'!D87)</f>
        <v>4930346.9976699119</v>
      </c>
      <c r="E108" s="32">
        <f>IF(INDEX(E_budgeted!$B$3:$G$13,MATCH($A108,E_budgeted!$A$3:$A$13,0),MATCH($A$62,E_budgeted!$B$2:$G$2,0))&gt;0,MIN('Inkomati-Pongola CMA'!E87,E_budgeted!E144),'Inkomati-Pongola CMA'!E87)</f>
        <v>4930346.9976699119</v>
      </c>
      <c r="F108" s="32">
        <f>IF(INDEX(E_budgeted!$B$3:$G$13,MATCH($A108,E_budgeted!$A$3:$A$13,0),MATCH($A$62,E_budgeted!$B$2:$G$2,0))&gt;0,MIN('Inkomati-Pongola CMA'!F87,E_budgeted!F144),'Inkomati-Pongola CMA'!F87)</f>
        <v>4930346.9976699119</v>
      </c>
      <c r="G108" s="32">
        <f>IF(INDEX(E_budgeted!$B$3:$G$13,MATCH($A108,E_budgeted!$A$3:$A$13,0),MATCH($A$62,E_budgeted!$B$2:$G$2,0))&gt;0,MIN('Inkomati-Pongola CMA'!G87,E_budgeted!G144),'Inkomati-Pongola CMA'!G87)</f>
        <v>4930346.9976699119</v>
      </c>
      <c r="H108" s="32">
        <f>IF(INDEX(E_budgeted!$B$3:$G$13,MATCH($A108,E_budgeted!$A$3:$A$13,0),MATCH($A$62,E_budgeted!$B$2:$G$2,0))&gt;0,MIN('Inkomati-Pongola CMA'!H87,E_budgeted!H144),'Inkomati-Pongola CMA'!H87)</f>
        <v>4930346.9976699119</v>
      </c>
      <c r="I108" s="32">
        <f>IF(INDEX(E_budgeted!$B$3:$G$13,MATCH($A108,E_budgeted!$A$3:$A$13,0),MATCH($A$62,E_budgeted!$B$2:$G$2,0))&gt;0,MIN('Inkomati-Pongola CMA'!I87,E_budgeted!I144),'Inkomati-Pongola CMA'!I87)</f>
        <v>4930346.9976699119</v>
      </c>
      <c r="J108" s="32">
        <f>IF(INDEX(E_budgeted!$B$3:$G$13,MATCH($A108,E_budgeted!$A$3:$A$13,0),MATCH($A$62,E_budgeted!$B$2:$G$2,0))&gt;0,MIN('Inkomati-Pongola CMA'!J87,E_budgeted!J144),'Inkomati-Pongola CMA'!J87)</f>
        <v>4930346.9976699119</v>
      </c>
      <c r="K108" s="32">
        <f>IF(INDEX(E_budgeted!$B$3:$G$13,MATCH($A108,E_budgeted!$A$3:$A$13,0),MATCH($A$62,E_budgeted!$B$2:$G$2,0))&gt;0,MIN('Inkomati-Pongola CMA'!K87,E_budgeted!K144),'Inkomati-Pongola CMA'!K87)</f>
        <v>4930346.9976699119</v>
      </c>
      <c r="L108" s="5">
        <f>AVERAGE(B108:K108)</f>
        <v>4930346.9976699119</v>
      </c>
    </row>
    <row r="109" spans="1:12" x14ac:dyDescent="0.25">
      <c r="A109" s="4" t="s">
        <v>36</v>
      </c>
      <c r="B109" s="32">
        <f>IF(INDEX(E_budgeted!$B$3:$G$13,MATCH($A109,E_budgeted!$A$3:$A$13,0),MATCH($A$62,E_budgeted!$B$2:$G$2,0))&gt;0,MIN('Inkomati-Pongola CMA'!B88,E_budgeted!B145),'Inkomati-Pongola CMA'!B88)</f>
        <v>806786.40689855628</v>
      </c>
      <c r="C109" s="32">
        <f>IF(INDEX(E_budgeted!$B$3:$G$13,MATCH($A109,E_budgeted!$A$3:$A$13,0),MATCH($A$62,E_budgeted!$B$2:$G$2,0))&gt;0,MIN('Inkomati-Pongola CMA'!C88,E_budgeted!C145),'Inkomati-Pongola CMA'!C88)</f>
        <v>806786.40689855628</v>
      </c>
      <c r="D109" s="32">
        <f>IF(INDEX(E_budgeted!$B$3:$G$13,MATCH($A109,E_budgeted!$A$3:$A$13,0),MATCH($A$62,E_budgeted!$B$2:$G$2,0))&gt;0,MIN('Inkomati-Pongola CMA'!D88,E_budgeted!D145),'Inkomati-Pongola CMA'!D88)</f>
        <v>806786.40689855628</v>
      </c>
      <c r="E109" s="32">
        <f>IF(INDEX(E_budgeted!$B$3:$G$13,MATCH($A109,E_budgeted!$A$3:$A$13,0),MATCH($A$62,E_budgeted!$B$2:$G$2,0))&gt;0,MIN('Inkomati-Pongola CMA'!E88,E_budgeted!E145),'Inkomati-Pongola CMA'!E88)</f>
        <v>806786.40689855628</v>
      </c>
      <c r="F109" s="32">
        <f>IF(INDEX(E_budgeted!$B$3:$G$13,MATCH($A109,E_budgeted!$A$3:$A$13,0),MATCH($A$62,E_budgeted!$B$2:$G$2,0))&gt;0,MIN('Inkomati-Pongola CMA'!F88,E_budgeted!F145),'Inkomati-Pongola CMA'!F88)</f>
        <v>806786.40689855628</v>
      </c>
      <c r="G109" s="32">
        <f>IF(INDEX(E_budgeted!$B$3:$G$13,MATCH($A109,E_budgeted!$A$3:$A$13,0),MATCH($A$62,E_budgeted!$B$2:$G$2,0))&gt;0,MIN('Inkomati-Pongola CMA'!G88,E_budgeted!G145),'Inkomati-Pongola CMA'!G88)</f>
        <v>806786.40689855628</v>
      </c>
      <c r="H109" s="32">
        <f>IF(INDEX(E_budgeted!$B$3:$G$13,MATCH($A109,E_budgeted!$A$3:$A$13,0),MATCH($A$62,E_budgeted!$B$2:$G$2,0))&gt;0,MIN('Inkomati-Pongola CMA'!H88,E_budgeted!H145),'Inkomati-Pongola CMA'!H88)</f>
        <v>806786.40689855628</v>
      </c>
      <c r="I109" s="32">
        <f>IF(INDEX(E_budgeted!$B$3:$G$13,MATCH($A109,E_budgeted!$A$3:$A$13,0),MATCH($A$62,E_budgeted!$B$2:$G$2,0))&gt;0,MIN('Inkomati-Pongola CMA'!I88,E_budgeted!I145),'Inkomati-Pongola CMA'!I88)</f>
        <v>806786.40689855628</v>
      </c>
      <c r="J109" s="32">
        <f>IF(INDEX(E_budgeted!$B$3:$G$13,MATCH($A109,E_budgeted!$A$3:$A$13,0),MATCH($A$62,E_budgeted!$B$2:$G$2,0))&gt;0,MIN('Inkomati-Pongola CMA'!J88,E_budgeted!J145),'Inkomati-Pongola CMA'!J88)</f>
        <v>806786.40689855628</v>
      </c>
      <c r="K109" s="32">
        <f>IF(INDEX(E_budgeted!$B$3:$G$13,MATCH($A109,E_budgeted!$A$3:$A$13,0),MATCH($A$62,E_budgeted!$B$2:$G$2,0))&gt;0,MIN('Inkomati-Pongola CMA'!K88,E_budgeted!K145),'Inkomati-Pongola CMA'!K88)</f>
        <v>806786.40689855628</v>
      </c>
      <c r="L109" s="5">
        <f t="shared" ref="L109:L118" si="70">AVERAGE(B109:K109)</f>
        <v>806786.40689855628</v>
      </c>
    </row>
    <row r="110" spans="1:12" x14ac:dyDescent="0.25">
      <c r="A110" s="4" t="s">
        <v>11</v>
      </c>
      <c r="B110" s="32">
        <f>IF(INDEX(E_budgeted!$B$3:$G$13,MATCH($A110,E_budgeted!$A$3:$A$13,0),MATCH($A$62,E_budgeted!$B$2:$G$2,0))&gt;0,MIN('Inkomati-Pongola CMA'!B89,E_budgeted!B146),'Inkomati-Pongola CMA'!B89)</f>
        <v>0</v>
      </c>
      <c r="C110" s="32">
        <f>IF(INDEX(E_budgeted!$B$3:$G$13,MATCH($A110,E_budgeted!$A$3:$A$13,0),MATCH($A$62,E_budgeted!$B$2:$G$2,0))&gt;0,MIN('Inkomati-Pongola CMA'!C89,E_budgeted!C146),'Inkomati-Pongola CMA'!C89)</f>
        <v>0</v>
      </c>
      <c r="D110" s="32">
        <f>IF(INDEX(E_budgeted!$B$3:$G$13,MATCH($A110,E_budgeted!$A$3:$A$13,0),MATCH($A$62,E_budgeted!$B$2:$G$2,0))&gt;0,MIN('Inkomati-Pongola CMA'!D89,E_budgeted!D146),'Inkomati-Pongola CMA'!D89)</f>
        <v>0</v>
      </c>
      <c r="E110" s="32">
        <f>IF(INDEX(E_budgeted!$B$3:$G$13,MATCH($A110,E_budgeted!$A$3:$A$13,0),MATCH($A$62,E_budgeted!$B$2:$G$2,0))&gt;0,MIN('Inkomati-Pongola CMA'!E89,E_budgeted!E146),'Inkomati-Pongola CMA'!E89)</f>
        <v>0</v>
      </c>
      <c r="F110" s="32">
        <f>IF(INDEX(E_budgeted!$B$3:$G$13,MATCH($A110,E_budgeted!$A$3:$A$13,0),MATCH($A$62,E_budgeted!$B$2:$G$2,0))&gt;0,MIN('Inkomati-Pongola CMA'!F89,E_budgeted!F146),'Inkomati-Pongola CMA'!F89)</f>
        <v>0</v>
      </c>
      <c r="G110" s="32">
        <f>IF(INDEX(E_budgeted!$B$3:$G$13,MATCH($A110,E_budgeted!$A$3:$A$13,0),MATCH($A$62,E_budgeted!$B$2:$G$2,0))&gt;0,MIN('Inkomati-Pongola CMA'!G89,E_budgeted!G146),'Inkomati-Pongola CMA'!G89)</f>
        <v>0</v>
      </c>
      <c r="H110" s="32">
        <f>IF(INDEX(E_budgeted!$B$3:$G$13,MATCH($A110,E_budgeted!$A$3:$A$13,0),MATCH($A$62,E_budgeted!$B$2:$G$2,0))&gt;0,MIN('Inkomati-Pongola CMA'!H89,E_budgeted!H146),'Inkomati-Pongola CMA'!H89)</f>
        <v>0</v>
      </c>
      <c r="I110" s="32">
        <f>IF(INDEX(E_budgeted!$B$3:$G$13,MATCH($A110,E_budgeted!$A$3:$A$13,0),MATCH($A$62,E_budgeted!$B$2:$G$2,0))&gt;0,MIN('Inkomati-Pongola CMA'!I89,E_budgeted!I146),'Inkomati-Pongola CMA'!I89)</f>
        <v>0</v>
      </c>
      <c r="J110" s="32">
        <f>IF(INDEX(E_budgeted!$B$3:$G$13,MATCH($A110,E_budgeted!$A$3:$A$13,0),MATCH($A$62,E_budgeted!$B$2:$G$2,0))&gt;0,MIN('Inkomati-Pongola CMA'!J89,E_budgeted!J146),'Inkomati-Pongola CMA'!J89)</f>
        <v>0</v>
      </c>
      <c r="K110" s="32">
        <f>IF(INDEX(E_budgeted!$B$3:$G$13,MATCH($A110,E_budgeted!$A$3:$A$13,0),MATCH($A$62,E_budgeted!$B$2:$G$2,0))&gt;0,MIN('Inkomati-Pongola CMA'!K89,E_budgeted!K146),'Inkomati-Pongola CMA'!K89)</f>
        <v>0</v>
      </c>
      <c r="L110" s="5">
        <f t="shared" si="70"/>
        <v>0</v>
      </c>
    </row>
    <row r="111" spans="1:12" x14ac:dyDescent="0.25">
      <c r="A111" s="4" t="s">
        <v>124</v>
      </c>
      <c r="B111" s="32">
        <f>IF(INDEX(E_budgeted!$B$3:$G$13,MATCH($A111,E_budgeted!$A$3:$A$13,0),MATCH($A$62,E_budgeted!$B$2:$G$2,0))&gt;0,MIN('Inkomati-Pongola CMA'!B90,E_budgeted!B147),'Inkomati-Pongola CMA'!B90)</f>
        <v>484682.68025618873</v>
      </c>
      <c r="C111" s="32">
        <f>IF(INDEX(E_budgeted!$B$3:$G$13,MATCH($A111,E_budgeted!$A$3:$A$13,0),MATCH($A$62,E_budgeted!$B$2:$G$2,0))&gt;0,MIN('Inkomati-Pongola CMA'!C90,E_budgeted!C147),'Inkomati-Pongola CMA'!C90)</f>
        <v>484682.68025618873</v>
      </c>
      <c r="D111" s="32">
        <f>IF(INDEX(E_budgeted!$B$3:$G$13,MATCH($A111,E_budgeted!$A$3:$A$13,0),MATCH($A$62,E_budgeted!$B$2:$G$2,0))&gt;0,MIN('Inkomati-Pongola CMA'!D90,E_budgeted!D147),'Inkomati-Pongola CMA'!D90)</f>
        <v>484682.68025618873</v>
      </c>
      <c r="E111" s="32">
        <f>IF(INDEX(E_budgeted!$B$3:$G$13,MATCH($A111,E_budgeted!$A$3:$A$13,0),MATCH($A$62,E_budgeted!$B$2:$G$2,0))&gt;0,MIN('Inkomati-Pongola CMA'!E90,E_budgeted!E147),'Inkomati-Pongola CMA'!E90)</f>
        <v>484682.68025618873</v>
      </c>
      <c r="F111" s="32">
        <f>IF(INDEX(E_budgeted!$B$3:$G$13,MATCH($A111,E_budgeted!$A$3:$A$13,0),MATCH($A$62,E_budgeted!$B$2:$G$2,0))&gt;0,MIN('Inkomati-Pongola CMA'!F90,E_budgeted!F147),'Inkomati-Pongola CMA'!F90)</f>
        <v>484682.68025618873</v>
      </c>
      <c r="G111" s="32">
        <f>IF(INDEX(E_budgeted!$B$3:$G$13,MATCH($A111,E_budgeted!$A$3:$A$13,0),MATCH($A$62,E_budgeted!$B$2:$G$2,0))&gt;0,MIN('Inkomati-Pongola CMA'!G90,E_budgeted!G147),'Inkomati-Pongola CMA'!G90)</f>
        <v>484682.68025618873</v>
      </c>
      <c r="H111" s="32">
        <f>IF(INDEX(E_budgeted!$B$3:$G$13,MATCH($A111,E_budgeted!$A$3:$A$13,0),MATCH($A$62,E_budgeted!$B$2:$G$2,0))&gt;0,MIN('Inkomati-Pongola CMA'!H90,E_budgeted!H147),'Inkomati-Pongola CMA'!H90)</f>
        <v>484682.68025618873</v>
      </c>
      <c r="I111" s="32">
        <f>IF(INDEX(E_budgeted!$B$3:$G$13,MATCH($A111,E_budgeted!$A$3:$A$13,0),MATCH($A$62,E_budgeted!$B$2:$G$2,0))&gt;0,MIN('Inkomati-Pongola CMA'!I90,E_budgeted!I147),'Inkomati-Pongola CMA'!I90)</f>
        <v>484682.68025618873</v>
      </c>
      <c r="J111" s="32">
        <f>IF(INDEX(E_budgeted!$B$3:$G$13,MATCH($A111,E_budgeted!$A$3:$A$13,0),MATCH($A$62,E_budgeted!$B$2:$G$2,0))&gt;0,MIN('Inkomati-Pongola CMA'!J90,E_budgeted!J147),'Inkomati-Pongola CMA'!J90)</f>
        <v>484682.68025618873</v>
      </c>
      <c r="K111" s="32">
        <f>IF(INDEX(E_budgeted!$B$3:$G$13,MATCH($A111,E_budgeted!$A$3:$A$13,0),MATCH($A$62,E_budgeted!$B$2:$G$2,0))&gt;0,MIN('Inkomati-Pongola CMA'!K90,E_budgeted!K147),'Inkomati-Pongola CMA'!K90)</f>
        <v>484682.68025618873</v>
      </c>
      <c r="L111" s="5">
        <f t="shared" si="70"/>
        <v>484682.68025618873</v>
      </c>
    </row>
    <row r="112" spans="1:12" x14ac:dyDescent="0.25">
      <c r="A112" s="4" t="s">
        <v>12</v>
      </c>
      <c r="B112" s="32">
        <f>IF(INDEX(E_budgeted!$B$3:$G$13,MATCH($A112,E_budgeted!$A$3:$A$13,0),MATCH($A$62,E_budgeted!$B$2:$G$2,0))&gt;0,MIN('Inkomati-Pongola CMA'!B91,E_budgeted!B148),'Inkomati-Pongola CMA'!B91)</f>
        <v>1159857.4511018982</v>
      </c>
      <c r="C112" s="32">
        <f>IF(INDEX(E_budgeted!$B$3:$G$13,MATCH($A112,E_budgeted!$A$3:$A$13,0),MATCH($A$62,E_budgeted!$B$2:$G$2,0))&gt;0,MIN('Inkomati-Pongola CMA'!C91,E_budgeted!C148),'Inkomati-Pongola CMA'!C91)</f>
        <v>1159857.4511018982</v>
      </c>
      <c r="D112" s="32">
        <f>IF(INDEX(E_budgeted!$B$3:$G$13,MATCH($A112,E_budgeted!$A$3:$A$13,0),MATCH($A$62,E_budgeted!$B$2:$G$2,0))&gt;0,MIN('Inkomati-Pongola CMA'!D91,E_budgeted!D148),'Inkomati-Pongola CMA'!D91)</f>
        <v>1159857.4511018982</v>
      </c>
      <c r="E112" s="32">
        <f>IF(INDEX(E_budgeted!$B$3:$G$13,MATCH($A112,E_budgeted!$A$3:$A$13,0),MATCH($A$62,E_budgeted!$B$2:$G$2,0))&gt;0,MIN('Inkomati-Pongola CMA'!E91,E_budgeted!E148),'Inkomati-Pongola CMA'!E91)</f>
        <v>1159857.4511018982</v>
      </c>
      <c r="F112" s="32">
        <f>IF(INDEX(E_budgeted!$B$3:$G$13,MATCH($A112,E_budgeted!$A$3:$A$13,0),MATCH($A$62,E_budgeted!$B$2:$G$2,0))&gt;0,MIN('Inkomati-Pongola CMA'!F91,E_budgeted!F148),'Inkomati-Pongola CMA'!F91)</f>
        <v>1159857.4511018982</v>
      </c>
      <c r="G112" s="32">
        <f>IF(INDEX(E_budgeted!$B$3:$G$13,MATCH($A112,E_budgeted!$A$3:$A$13,0),MATCH($A$62,E_budgeted!$B$2:$G$2,0))&gt;0,MIN('Inkomati-Pongola CMA'!G91,E_budgeted!G148),'Inkomati-Pongola CMA'!G91)</f>
        <v>1159857.4511018982</v>
      </c>
      <c r="H112" s="32">
        <f>IF(INDEX(E_budgeted!$B$3:$G$13,MATCH($A112,E_budgeted!$A$3:$A$13,0),MATCH($A$62,E_budgeted!$B$2:$G$2,0))&gt;0,MIN('Inkomati-Pongola CMA'!H91,E_budgeted!H148),'Inkomati-Pongola CMA'!H91)</f>
        <v>1159857.4511018982</v>
      </c>
      <c r="I112" s="32">
        <f>IF(INDEX(E_budgeted!$B$3:$G$13,MATCH($A112,E_budgeted!$A$3:$A$13,0),MATCH($A$62,E_budgeted!$B$2:$G$2,0))&gt;0,MIN('Inkomati-Pongola CMA'!I91,E_budgeted!I148),'Inkomati-Pongola CMA'!I91)</f>
        <v>1159857.4511018982</v>
      </c>
      <c r="J112" s="32">
        <f>IF(INDEX(E_budgeted!$B$3:$G$13,MATCH($A112,E_budgeted!$A$3:$A$13,0),MATCH($A$62,E_budgeted!$B$2:$G$2,0))&gt;0,MIN('Inkomati-Pongola CMA'!J91,E_budgeted!J148),'Inkomati-Pongola CMA'!J91)</f>
        <v>1159857.4511018982</v>
      </c>
      <c r="K112" s="32">
        <f>IF(INDEX(E_budgeted!$B$3:$G$13,MATCH($A112,E_budgeted!$A$3:$A$13,0),MATCH($A$62,E_budgeted!$B$2:$G$2,0))&gt;0,MIN('Inkomati-Pongola CMA'!K91,E_budgeted!K148),'Inkomati-Pongola CMA'!K91)</f>
        <v>1159857.4511018982</v>
      </c>
      <c r="L112" s="5">
        <f t="shared" si="70"/>
        <v>1159857.4511018984</v>
      </c>
    </row>
    <row r="113" spans="1:12" x14ac:dyDescent="0.25">
      <c r="A113" s="4" t="s">
        <v>13</v>
      </c>
      <c r="B113" s="32">
        <f>IF(INDEX(E_budgeted!$B$3:$G$13,MATCH($A113,E_budgeted!$A$3:$A$13,0),MATCH($A$62,E_budgeted!$B$2:$G$2,0))&gt;0,MIN('Inkomati-Pongola CMA'!B92,E_budgeted!B149),'Inkomati-Pongola CMA'!B92)</f>
        <v>0</v>
      </c>
      <c r="C113" s="32">
        <f>IF(INDEX(E_budgeted!$B$3:$G$13,MATCH($A113,E_budgeted!$A$3:$A$13,0),MATCH($A$62,E_budgeted!$B$2:$G$2,0))&gt;0,MIN('Inkomati-Pongola CMA'!C92,E_budgeted!C149),'Inkomati-Pongola CMA'!C92)</f>
        <v>0</v>
      </c>
      <c r="D113" s="32">
        <f>IF(INDEX(E_budgeted!$B$3:$G$13,MATCH($A113,E_budgeted!$A$3:$A$13,0),MATCH($A$62,E_budgeted!$B$2:$G$2,0))&gt;0,MIN('Inkomati-Pongola CMA'!D92,E_budgeted!D149),'Inkomati-Pongola CMA'!D92)</f>
        <v>0</v>
      </c>
      <c r="E113" s="32">
        <f>IF(INDEX(E_budgeted!$B$3:$G$13,MATCH($A113,E_budgeted!$A$3:$A$13,0),MATCH($A$62,E_budgeted!$B$2:$G$2,0))&gt;0,MIN('Inkomati-Pongola CMA'!E92,E_budgeted!E149),'Inkomati-Pongola CMA'!E92)</f>
        <v>0</v>
      </c>
      <c r="F113" s="32">
        <f>IF(INDEX(E_budgeted!$B$3:$G$13,MATCH($A113,E_budgeted!$A$3:$A$13,0),MATCH($A$62,E_budgeted!$B$2:$G$2,0))&gt;0,MIN('Inkomati-Pongola CMA'!F92,E_budgeted!F149),'Inkomati-Pongola CMA'!F92)</f>
        <v>0</v>
      </c>
      <c r="G113" s="32">
        <f>IF(INDEX(E_budgeted!$B$3:$G$13,MATCH($A113,E_budgeted!$A$3:$A$13,0),MATCH($A$62,E_budgeted!$B$2:$G$2,0))&gt;0,MIN('Inkomati-Pongola CMA'!G92,E_budgeted!G149),'Inkomati-Pongola CMA'!G92)</f>
        <v>0</v>
      </c>
      <c r="H113" s="32">
        <f>IF(INDEX(E_budgeted!$B$3:$G$13,MATCH($A113,E_budgeted!$A$3:$A$13,0),MATCH($A$62,E_budgeted!$B$2:$G$2,0))&gt;0,MIN('Inkomati-Pongola CMA'!H92,E_budgeted!H149),'Inkomati-Pongola CMA'!H92)</f>
        <v>0</v>
      </c>
      <c r="I113" s="32">
        <f>IF(INDEX(E_budgeted!$B$3:$G$13,MATCH($A113,E_budgeted!$A$3:$A$13,0),MATCH($A$62,E_budgeted!$B$2:$G$2,0))&gt;0,MIN('Inkomati-Pongola CMA'!I92,E_budgeted!I149),'Inkomati-Pongola CMA'!I92)</f>
        <v>0</v>
      </c>
      <c r="J113" s="32">
        <f>IF(INDEX(E_budgeted!$B$3:$G$13,MATCH($A113,E_budgeted!$A$3:$A$13,0),MATCH($A$62,E_budgeted!$B$2:$G$2,0))&gt;0,MIN('Inkomati-Pongola CMA'!J92,E_budgeted!J149),'Inkomati-Pongola CMA'!J92)</f>
        <v>0</v>
      </c>
      <c r="K113" s="32">
        <f>IF(INDEX(E_budgeted!$B$3:$G$13,MATCH($A113,E_budgeted!$A$3:$A$13,0),MATCH($A$62,E_budgeted!$B$2:$G$2,0))&gt;0,MIN('Inkomati-Pongola CMA'!K92,E_budgeted!K149),'Inkomati-Pongola CMA'!K92)</f>
        <v>0</v>
      </c>
      <c r="L113" s="5">
        <f t="shared" si="70"/>
        <v>0</v>
      </c>
    </row>
    <row r="114" spans="1:12" x14ac:dyDescent="0.25">
      <c r="A114" s="4" t="s">
        <v>14</v>
      </c>
      <c r="B114" s="32">
        <f>IF(INDEX(E_budgeted!$B$3:$G$13,MATCH($A114,E_budgeted!$A$3:$A$13,0),MATCH($A$62,E_budgeted!$B$2:$G$2,0))&gt;0,MIN('Inkomati-Pongola CMA'!B93,E_budgeted!B150),'Inkomati-Pongola CMA'!B93)</f>
        <v>0</v>
      </c>
      <c r="C114" s="32">
        <f>IF(INDEX(E_budgeted!$B$3:$G$13,MATCH($A114,E_budgeted!$A$3:$A$13,0),MATCH($A$62,E_budgeted!$B$2:$G$2,0))&gt;0,MIN('Inkomati-Pongola CMA'!C93,E_budgeted!C150),'Inkomati-Pongola CMA'!C93)</f>
        <v>0</v>
      </c>
      <c r="D114" s="32">
        <f>IF(INDEX(E_budgeted!$B$3:$G$13,MATCH($A114,E_budgeted!$A$3:$A$13,0),MATCH($A$62,E_budgeted!$B$2:$G$2,0))&gt;0,MIN('Inkomati-Pongola CMA'!D93,E_budgeted!D150),'Inkomati-Pongola CMA'!D93)</f>
        <v>0</v>
      </c>
      <c r="E114" s="32">
        <f>IF(INDEX(E_budgeted!$B$3:$G$13,MATCH($A114,E_budgeted!$A$3:$A$13,0),MATCH($A$62,E_budgeted!$B$2:$G$2,0))&gt;0,MIN('Inkomati-Pongola CMA'!E93,E_budgeted!E150),'Inkomati-Pongola CMA'!E93)</f>
        <v>0</v>
      </c>
      <c r="F114" s="32">
        <f>IF(INDEX(E_budgeted!$B$3:$G$13,MATCH($A114,E_budgeted!$A$3:$A$13,0),MATCH($A$62,E_budgeted!$B$2:$G$2,0))&gt;0,MIN('Inkomati-Pongola CMA'!F93,E_budgeted!F150),'Inkomati-Pongola CMA'!F93)</f>
        <v>0</v>
      </c>
      <c r="G114" s="32">
        <f>IF(INDEX(E_budgeted!$B$3:$G$13,MATCH($A114,E_budgeted!$A$3:$A$13,0),MATCH($A$62,E_budgeted!$B$2:$G$2,0))&gt;0,MIN('Inkomati-Pongola CMA'!G93,E_budgeted!G150),'Inkomati-Pongola CMA'!G93)</f>
        <v>0</v>
      </c>
      <c r="H114" s="32">
        <f>IF(INDEX(E_budgeted!$B$3:$G$13,MATCH($A114,E_budgeted!$A$3:$A$13,0),MATCH($A$62,E_budgeted!$B$2:$G$2,0))&gt;0,MIN('Inkomati-Pongola CMA'!H93,E_budgeted!H150),'Inkomati-Pongola CMA'!H93)</f>
        <v>0</v>
      </c>
      <c r="I114" s="32">
        <f>IF(INDEX(E_budgeted!$B$3:$G$13,MATCH($A114,E_budgeted!$A$3:$A$13,0),MATCH($A$62,E_budgeted!$B$2:$G$2,0))&gt;0,MIN('Inkomati-Pongola CMA'!I93,E_budgeted!I150),'Inkomati-Pongola CMA'!I93)</f>
        <v>0</v>
      </c>
      <c r="J114" s="32">
        <f>IF(INDEX(E_budgeted!$B$3:$G$13,MATCH($A114,E_budgeted!$A$3:$A$13,0),MATCH($A$62,E_budgeted!$B$2:$G$2,0))&gt;0,MIN('Inkomati-Pongola CMA'!J93,E_budgeted!J150),'Inkomati-Pongola CMA'!J93)</f>
        <v>0</v>
      </c>
      <c r="K114" s="32">
        <f>IF(INDEX(E_budgeted!$B$3:$G$13,MATCH($A114,E_budgeted!$A$3:$A$13,0),MATCH($A$62,E_budgeted!$B$2:$G$2,0))&gt;0,MIN('Inkomati-Pongola CMA'!K93,E_budgeted!K150),'Inkomati-Pongola CMA'!K93)</f>
        <v>0</v>
      </c>
      <c r="L114" s="5">
        <f t="shared" si="70"/>
        <v>0</v>
      </c>
    </row>
    <row r="115" spans="1:12" x14ac:dyDescent="0.25">
      <c r="A115" s="4" t="s">
        <v>125</v>
      </c>
      <c r="B115" s="32">
        <f>IF(INDEX(E_budgeted!$B$3:$G$13,MATCH($A115,E_budgeted!$A$3:$A$13,0),MATCH($A$62,E_budgeted!$B$2:$G$2,0))&gt;0,MIN('Inkomati-Pongola CMA'!B94,E_budgeted!B151),'Inkomati-Pongola CMA'!B94)</f>
        <v>537019.00011249445</v>
      </c>
      <c r="C115" s="32">
        <f>IF(INDEX(E_budgeted!$B$3:$G$13,MATCH($A115,E_budgeted!$A$3:$A$13,0),MATCH($A$62,E_budgeted!$B$2:$G$2,0))&gt;0,MIN('Inkomati-Pongola CMA'!C94,E_budgeted!C151),'Inkomati-Pongola CMA'!C94)</f>
        <v>537019.00011249445</v>
      </c>
      <c r="D115" s="32">
        <f>IF(INDEX(E_budgeted!$B$3:$G$13,MATCH($A115,E_budgeted!$A$3:$A$13,0),MATCH($A$62,E_budgeted!$B$2:$G$2,0))&gt;0,MIN('Inkomati-Pongola CMA'!D94,E_budgeted!D151),'Inkomati-Pongola CMA'!D94)</f>
        <v>537019.00011249445</v>
      </c>
      <c r="E115" s="32">
        <f>IF(INDEX(E_budgeted!$B$3:$G$13,MATCH($A115,E_budgeted!$A$3:$A$13,0),MATCH($A$62,E_budgeted!$B$2:$G$2,0))&gt;0,MIN('Inkomati-Pongola CMA'!E94,E_budgeted!E151),'Inkomati-Pongola CMA'!E94)</f>
        <v>537019.00011249445</v>
      </c>
      <c r="F115" s="32">
        <f>IF(INDEX(E_budgeted!$B$3:$G$13,MATCH($A115,E_budgeted!$A$3:$A$13,0),MATCH($A$62,E_budgeted!$B$2:$G$2,0))&gt;0,MIN('Inkomati-Pongola CMA'!F94,E_budgeted!F151),'Inkomati-Pongola CMA'!F94)</f>
        <v>537019.00011249445</v>
      </c>
      <c r="G115" s="32">
        <f>IF(INDEX(E_budgeted!$B$3:$G$13,MATCH($A115,E_budgeted!$A$3:$A$13,0),MATCH($A$62,E_budgeted!$B$2:$G$2,0))&gt;0,MIN('Inkomati-Pongola CMA'!G94,E_budgeted!G151),'Inkomati-Pongola CMA'!G94)</f>
        <v>537019.00011249445</v>
      </c>
      <c r="H115" s="32">
        <f>IF(INDEX(E_budgeted!$B$3:$G$13,MATCH($A115,E_budgeted!$A$3:$A$13,0),MATCH($A$62,E_budgeted!$B$2:$G$2,0))&gt;0,MIN('Inkomati-Pongola CMA'!H94,E_budgeted!H151),'Inkomati-Pongola CMA'!H94)</f>
        <v>537019.00011249445</v>
      </c>
      <c r="I115" s="32">
        <f>IF(INDEX(E_budgeted!$B$3:$G$13,MATCH($A115,E_budgeted!$A$3:$A$13,0),MATCH($A$62,E_budgeted!$B$2:$G$2,0))&gt;0,MIN('Inkomati-Pongola CMA'!I94,E_budgeted!I151),'Inkomati-Pongola CMA'!I94)</f>
        <v>537019.00011249445</v>
      </c>
      <c r="J115" s="32">
        <f>IF(INDEX(E_budgeted!$B$3:$G$13,MATCH($A115,E_budgeted!$A$3:$A$13,0),MATCH($A$62,E_budgeted!$B$2:$G$2,0))&gt;0,MIN('Inkomati-Pongola CMA'!J94,E_budgeted!J151),'Inkomati-Pongola CMA'!J94)</f>
        <v>537019.00011249445</v>
      </c>
      <c r="K115" s="32">
        <f>IF(INDEX(E_budgeted!$B$3:$G$13,MATCH($A115,E_budgeted!$A$3:$A$13,0),MATCH($A$62,E_budgeted!$B$2:$G$2,0))&gt;0,MIN('Inkomati-Pongola CMA'!K94,E_budgeted!K151),'Inkomati-Pongola CMA'!K94)</f>
        <v>537019.00011249445</v>
      </c>
      <c r="L115" s="5">
        <f t="shared" si="70"/>
        <v>537019.00011249445</v>
      </c>
    </row>
    <row r="116" spans="1:12" x14ac:dyDescent="0.25">
      <c r="A116" s="4" t="s">
        <v>37</v>
      </c>
      <c r="B116" s="32">
        <f>IF(INDEX(E_budgeted!$B$3:$G$13,MATCH($A116,E_budgeted!$A$3:$A$13,0),MATCH($A$62,E_budgeted!$B$2:$G$2,0))&gt;0,MIN('Inkomati-Pongola CMA'!B95,E_budgeted!B152),'Inkomati-Pongola CMA'!B95)</f>
        <v>11826930.157818031</v>
      </c>
      <c r="C116" s="32">
        <f>IF(INDEX(E_budgeted!$B$3:$G$13,MATCH($A116,E_budgeted!$A$3:$A$13,0),MATCH($A$62,E_budgeted!$B$2:$G$2,0))&gt;0,MIN('Inkomati-Pongola CMA'!C95,E_budgeted!C152),'Inkomati-Pongola CMA'!C95)</f>
        <v>11826930.157818031</v>
      </c>
      <c r="D116" s="32">
        <f>IF(INDEX(E_budgeted!$B$3:$G$13,MATCH($A116,E_budgeted!$A$3:$A$13,0),MATCH($A$62,E_budgeted!$B$2:$G$2,0))&gt;0,MIN('Inkomati-Pongola CMA'!D95,E_budgeted!D152),'Inkomati-Pongola CMA'!D95)</f>
        <v>11826930.157818031</v>
      </c>
      <c r="E116" s="32">
        <f>IF(INDEX(E_budgeted!$B$3:$G$13,MATCH($A116,E_budgeted!$A$3:$A$13,0),MATCH($A$62,E_budgeted!$B$2:$G$2,0))&gt;0,MIN('Inkomati-Pongola CMA'!E95,E_budgeted!E152),'Inkomati-Pongola CMA'!E95)</f>
        <v>11826930.157818031</v>
      </c>
      <c r="F116" s="32">
        <f>IF(INDEX(E_budgeted!$B$3:$G$13,MATCH($A116,E_budgeted!$A$3:$A$13,0),MATCH($A$62,E_budgeted!$B$2:$G$2,0))&gt;0,MIN('Inkomati-Pongola CMA'!F95,E_budgeted!F152),'Inkomati-Pongola CMA'!F95)</f>
        <v>11826930.157818031</v>
      </c>
      <c r="G116" s="32">
        <f>IF(INDEX(E_budgeted!$B$3:$G$13,MATCH($A116,E_budgeted!$A$3:$A$13,0),MATCH($A$62,E_budgeted!$B$2:$G$2,0))&gt;0,MIN('Inkomati-Pongola CMA'!G95,E_budgeted!G152),'Inkomati-Pongola CMA'!G95)</f>
        <v>11826930.157818031</v>
      </c>
      <c r="H116" s="32">
        <f>IF(INDEX(E_budgeted!$B$3:$G$13,MATCH($A116,E_budgeted!$A$3:$A$13,0),MATCH($A$62,E_budgeted!$B$2:$G$2,0))&gt;0,MIN('Inkomati-Pongola CMA'!H95,E_budgeted!H152),'Inkomati-Pongola CMA'!H95)</f>
        <v>11826930.157818031</v>
      </c>
      <c r="I116" s="32">
        <f>IF(INDEX(E_budgeted!$B$3:$G$13,MATCH($A116,E_budgeted!$A$3:$A$13,0),MATCH($A$62,E_budgeted!$B$2:$G$2,0))&gt;0,MIN('Inkomati-Pongola CMA'!I95,E_budgeted!I152),'Inkomati-Pongola CMA'!I95)</f>
        <v>11826930.157818031</v>
      </c>
      <c r="J116" s="32">
        <f>IF(INDEX(E_budgeted!$B$3:$G$13,MATCH($A116,E_budgeted!$A$3:$A$13,0),MATCH($A$62,E_budgeted!$B$2:$G$2,0))&gt;0,MIN('Inkomati-Pongola CMA'!J95,E_budgeted!J152),'Inkomati-Pongola CMA'!J95)</f>
        <v>11826930.157818031</v>
      </c>
      <c r="K116" s="32">
        <f>IF(INDEX(E_budgeted!$B$3:$G$13,MATCH($A116,E_budgeted!$A$3:$A$13,0),MATCH($A$62,E_budgeted!$B$2:$G$2,0))&gt;0,MIN('Inkomati-Pongola CMA'!K95,E_budgeted!K152),'Inkomati-Pongola CMA'!K95)</f>
        <v>11826930.157818031</v>
      </c>
      <c r="L116" s="5">
        <f t="shared" si="70"/>
        <v>11826930.157818032</v>
      </c>
    </row>
    <row r="117" spans="1:12" x14ac:dyDescent="0.25">
      <c r="A117" s="4" t="s">
        <v>38</v>
      </c>
      <c r="B117" s="32">
        <f>IF(INDEX(E_budgeted!$B$3:$G$13,MATCH($A117,E_budgeted!$A$3:$A$13,0),MATCH($A$62,E_budgeted!$B$2:$G$2,0))&gt;0,MIN('Inkomati-Pongola CMA'!B96,E_budgeted!B153),'Inkomati-Pongola CMA'!B96)</f>
        <v>149568.63031097015</v>
      </c>
      <c r="C117" s="32">
        <f>IF(INDEX(E_budgeted!$B$3:$G$13,MATCH($A117,E_budgeted!$A$3:$A$13,0),MATCH($A$62,E_budgeted!$B$2:$G$2,0))&gt;0,MIN('Inkomati-Pongola CMA'!C96,E_budgeted!C153),'Inkomati-Pongola CMA'!C96)</f>
        <v>149568.63031097015</v>
      </c>
      <c r="D117" s="32">
        <f>IF(INDEX(E_budgeted!$B$3:$G$13,MATCH($A117,E_budgeted!$A$3:$A$13,0),MATCH($A$62,E_budgeted!$B$2:$G$2,0))&gt;0,MIN('Inkomati-Pongola CMA'!D96,E_budgeted!D153),'Inkomati-Pongola CMA'!D96)</f>
        <v>149568.63031097015</v>
      </c>
      <c r="E117" s="32">
        <f>IF(INDEX(E_budgeted!$B$3:$G$13,MATCH($A117,E_budgeted!$A$3:$A$13,0),MATCH($A$62,E_budgeted!$B$2:$G$2,0))&gt;0,MIN('Inkomati-Pongola CMA'!E96,E_budgeted!E153),'Inkomati-Pongola CMA'!E96)</f>
        <v>149568.63031097015</v>
      </c>
      <c r="F117" s="32">
        <f>IF(INDEX(E_budgeted!$B$3:$G$13,MATCH($A117,E_budgeted!$A$3:$A$13,0),MATCH($A$62,E_budgeted!$B$2:$G$2,0))&gt;0,MIN('Inkomati-Pongola CMA'!F96,E_budgeted!F153),'Inkomati-Pongola CMA'!F96)</f>
        <v>149568.63031097015</v>
      </c>
      <c r="G117" s="32">
        <f>IF(INDEX(E_budgeted!$B$3:$G$13,MATCH($A117,E_budgeted!$A$3:$A$13,0),MATCH($A$62,E_budgeted!$B$2:$G$2,0))&gt;0,MIN('Inkomati-Pongola CMA'!G96,E_budgeted!G153),'Inkomati-Pongola CMA'!G96)</f>
        <v>149568.63031097015</v>
      </c>
      <c r="H117" s="32">
        <f>IF(INDEX(E_budgeted!$B$3:$G$13,MATCH($A117,E_budgeted!$A$3:$A$13,0),MATCH($A$62,E_budgeted!$B$2:$G$2,0))&gt;0,MIN('Inkomati-Pongola CMA'!H96,E_budgeted!H153),'Inkomati-Pongola CMA'!H96)</f>
        <v>149568.63031097015</v>
      </c>
      <c r="I117" s="32">
        <f>IF(INDEX(E_budgeted!$B$3:$G$13,MATCH($A117,E_budgeted!$A$3:$A$13,0),MATCH($A$62,E_budgeted!$B$2:$G$2,0))&gt;0,MIN('Inkomati-Pongola CMA'!I96,E_budgeted!I153),'Inkomati-Pongola CMA'!I96)</f>
        <v>149568.63031097015</v>
      </c>
      <c r="J117" s="32">
        <f>IF(INDEX(E_budgeted!$B$3:$G$13,MATCH($A117,E_budgeted!$A$3:$A$13,0),MATCH($A$62,E_budgeted!$B$2:$G$2,0))&gt;0,MIN('Inkomati-Pongola CMA'!J96,E_budgeted!J153),'Inkomati-Pongola CMA'!J96)</f>
        <v>149568.63031097015</v>
      </c>
      <c r="K117" s="32">
        <f>IF(INDEX(E_budgeted!$B$3:$G$13,MATCH($A117,E_budgeted!$A$3:$A$13,0),MATCH($A$62,E_budgeted!$B$2:$G$2,0))&gt;0,MIN('Inkomati-Pongola CMA'!K96,E_budgeted!K153),'Inkomati-Pongola CMA'!K96)</f>
        <v>149568.63031097015</v>
      </c>
      <c r="L117" s="5">
        <f t="shared" si="70"/>
        <v>149568.63031097015</v>
      </c>
    </row>
    <row r="118" spans="1:12" x14ac:dyDescent="0.25">
      <c r="A118" s="4" t="s">
        <v>15</v>
      </c>
      <c r="B118" s="13">
        <f>IF(INDEX(E_budgeted!$B$3:$G$13,MATCH($A118,E_budgeted!$A$3:$A$13,0),MATCH($A$62,E_budgeted!$B$2:$G$2,0))&gt;0,MIN('Inkomati-Pongola CMA'!B97,E_budgeted!B154),'Inkomati-Pongola CMA'!B97)</f>
        <v>7764271.1573134139</v>
      </c>
      <c r="C118" s="13">
        <f>IF(INDEX(E_budgeted!$B$3:$G$13,MATCH($A118,E_budgeted!$A$3:$A$13,0),MATCH($A$62,E_budgeted!$B$2:$G$2,0))&gt;0,MIN('Inkomati-Pongola CMA'!C97,E_budgeted!C154),'Inkomati-Pongola CMA'!C97)</f>
        <v>7764271.1573134139</v>
      </c>
      <c r="D118" s="13">
        <f>IF(INDEX(E_budgeted!$B$3:$G$13,MATCH($A118,E_budgeted!$A$3:$A$13,0),MATCH($A$62,E_budgeted!$B$2:$G$2,0))&gt;0,MIN('Inkomati-Pongola CMA'!D97,E_budgeted!D154),'Inkomati-Pongola CMA'!D97)</f>
        <v>7764271.1573134139</v>
      </c>
      <c r="E118" s="13">
        <f>IF(INDEX(E_budgeted!$B$3:$G$13,MATCH($A118,E_budgeted!$A$3:$A$13,0),MATCH($A$62,E_budgeted!$B$2:$G$2,0))&gt;0,MIN('Inkomati-Pongola CMA'!E97,E_budgeted!E154),'Inkomati-Pongola CMA'!E97)</f>
        <v>7764271.1573134139</v>
      </c>
      <c r="F118" s="13">
        <f>IF(INDEX(E_budgeted!$B$3:$G$13,MATCH($A118,E_budgeted!$A$3:$A$13,0),MATCH($A$62,E_budgeted!$B$2:$G$2,0))&gt;0,MIN('Inkomati-Pongola CMA'!F97,E_budgeted!F154),'Inkomati-Pongola CMA'!F97)</f>
        <v>7764271.1573134139</v>
      </c>
      <c r="G118" s="13">
        <f>IF(INDEX(E_budgeted!$B$3:$G$13,MATCH($A118,E_budgeted!$A$3:$A$13,0),MATCH($A$62,E_budgeted!$B$2:$G$2,0))&gt;0,MIN('Inkomati-Pongola CMA'!G97,E_budgeted!G154),'Inkomati-Pongola CMA'!G97)</f>
        <v>7764271.1573134139</v>
      </c>
      <c r="H118" s="13">
        <f>IF(INDEX(E_budgeted!$B$3:$G$13,MATCH($A118,E_budgeted!$A$3:$A$13,0),MATCH($A$62,E_budgeted!$B$2:$G$2,0))&gt;0,MIN('Inkomati-Pongola CMA'!H97,E_budgeted!H154),'Inkomati-Pongola CMA'!H97)</f>
        <v>7764271.1573134139</v>
      </c>
      <c r="I118" s="13">
        <f>IF(INDEX(E_budgeted!$B$3:$G$13,MATCH($A118,E_budgeted!$A$3:$A$13,0),MATCH($A$62,E_budgeted!$B$2:$G$2,0))&gt;0,MIN('Inkomati-Pongola CMA'!I97,E_budgeted!I154),'Inkomati-Pongola CMA'!I97)</f>
        <v>7764271.1573134139</v>
      </c>
      <c r="J118" s="13">
        <f>IF(INDEX(E_budgeted!$B$3:$G$13,MATCH($A118,E_budgeted!$A$3:$A$13,0),MATCH($A$62,E_budgeted!$B$2:$G$2,0))&gt;0,MIN('Inkomati-Pongola CMA'!J97,E_budgeted!J154),'Inkomati-Pongola CMA'!J97)</f>
        <v>7764271.1573134139</v>
      </c>
      <c r="K118" s="13">
        <f>IF(INDEX(E_budgeted!$B$3:$G$13,MATCH($A118,E_budgeted!$A$3:$A$13,0),MATCH($A$62,E_budgeted!$B$2:$G$2,0))&gt;0,MIN('Inkomati-Pongola CMA'!K97,E_budgeted!K154),'Inkomati-Pongola CMA'!K97)</f>
        <v>7764271.1573134139</v>
      </c>
      <c r="L118" s="5">
        <f t="shared" si="70"/>
        <v>7764271.1573134121</v>
      </c>
    </row>
    <row r="119" spans="1:12" x14ac:dyDescent="0.25">
      <c r="B119" s="5">
        <f>SUM(B108:B118)</f>
        <v>27659462.481481466</v>
      </c>
      <c r="C119" s="5">
        <f t="shared" ref="C119:K119" si="71">SUM(C108:C118)</f>
        <v>27659462.481481466</v>
      </c>
      <c r="D119" s="5">
        <f t="shared" si="71"/>
        <v>27659462.481481466</v>
      </c>
      <c r="E119" s="5">
        <f t="shared" si="71"/>
        <v>27659462.481481466</v>
      </c>
      <c r="F119" s="5">
        <f t="shared" si="71"/>
        <v>27659462.481481466</v>
      </c>
      <c r="G119" s="5">
        <f t="shared" si="71"/>
        <v>27659462.481481466</v>
      </c>
      <c r="H119" s="5">
        <f t="shared" si="71"/>
        <v>27659462.481481466</v>
      </c>
      <c r="I119" s="5">
        <f t="shared" si="71"/>
        <v>27659462.481481466</v>
      </c>
      <c r="J119" s="5">
        <f t="shared" si="71"/>
        <v>27659462.481481466</v>
      </c>
      <c r="K119" s="5">
        <f t="shared" si="71"/>
        <v>27659462.481481466</v>
      </c>
      <c r="L119" s="5"/>
    </row>
    <row r="120" spans="1:12" x14ac:dyDescent="0.25">
      <c r="B120" s="16">
        <f>B119/$B$76</f>
        <v>0.31706251613345782</v>
      </c>
    </row>
    <row r="121" spans="1:12" s="3" customFormat="1" x14ac:dyDescent="0.25">
      <c r="A121" s="2" t="s">
        <v>50</v>
      </c>
    </row>
    <row r="123" spans="1:12" x14ac:dyDescent="0.25">
      <c r="A123" s="1" t="s">
        <v>60</v>
      </c>
      <c r="B123" s="12" t="str">
        <f>'Summary dashboard'!C4</f>
        <v>2023</v>
      </c>
      <c r="C123" s="12">
        <f t="shared" ref="C123" si="72">B123+1</f>
        <v>2024</v>
      </c>
      <c r="D123" s="12">
        <f t="shared" ref="D123" si="73">C123+1</f>
        <v>2025</v>
      </c>
      <c r="E123" s="12">
        <f t="shared" ref="E123" si="74">D123+1</f>
        <v>2026</v>
      </c>
      <c r="F123" s="12">
        <f t="shared" ref="F123" si="75">E123+1</f>
        <v>2027</v>
      </c>
      <c r="G123" s="12">
        <f t="shared" ref="G123" si="76">F123+1</f>
        <v>2028</v>
      </c>
      <c r="H123" s="12">
        <f t="shared" ref="H123" si="77">G123+1</f>
        <v>2029</v>
      </c>
      <c r="I123" s="12">
        <f t="shared" ref="I123" si="78">H123+1</f>
        <v>2030</v>
      </c>
      <c r="J123" s="12">
        <f t="shared" ref="J123" si="79">I123+1</f>
        <v>2031</v>
      </c>
      <c r="K123" s="12">
        <f t="shared" ref="K123" si="80">J123+1</f>
        <v>2032</v>
      </c>
      <c r="L123" s="1" t="s">
        <v>28</v>
      </c>
    </row>
    <row r="124" spans="1:12" x14ac:dyDescent="0.25">
      <c r="A124" s="4" t="s">
        <v>35</v>
      </c>
      <c r="B124" s="32">
        <f>IF(INDEX(E_budgeted!$B$3:$G$13,MATCH($A124,E_budgeted!$A$3:$A$13,0),MATCH($A$121,E_budgeted!$B$2:$G$2,0))&gt;0,MIN('Mkuze-Mtamvuna CMA'!B44,E_budgeted!B172),'Mkuze-Mtamvuna CMA'!B44)</f>
        <v>8624778.8954689354</v>
      </c>
      <c r="C124" s="32">
        <f>IF(INDEX(E_budgeted!$B$3:$G$13,MATCH($A124,E_budgeted!$A$3:$A$13,0),MATCH($A$121,E_budgeted!$B$2:$G$2,0))&gt;0,MIN('Mkuze-Mtamvuna CMA'!C44,E_budgeted!C172),'Mkuze-Mtamvuna CMA'!C44)</f>
        <v>8624778.8954689354</v>
      </c>
      <c r="D124" s="32">
        <f>IF(INDEX(E_budgeted!$B$3:$G$13,MATCH($A124,E_budgeted!$A$3:$A$13,0),MATCH($A$121,E_budgeted!$B$2:$G$2,0))&gt;0,MIN('Mkuze-Mtamvuna CMA'!D44,E_budgeted!D172),'Mkuze-Mtamvuna CMA'!D44)</f>
        <v>8624778.8954689354</v>
      </c>
      <c r="E124" s="32">
        <f>IF(INDEX(E_budgeted!$B$3:$G$13,MATCH($A124,E_budgeted!$A$3:$A$13,0),MATCH($A$121,E_budgeted!$B$2:$G$2,0))&gt;0,MIN('Mkuze-Mtamvuna CMA'!E44,E_budgeted!E172),'Mkuze-Mtamvuna CMA'!E44)</f>
        <v>8624778.8954689354</v>
      </c>
      <c r="F124" s="32">
        <f>IF(INDEX(E_budgeted!$B$3:$G$13,MATCH($A124,E_budgeted!$A$3:$A$13,0),MATCH($A$121,E_budgeted!$B$2:$G$2,0))&gt;0,MIN('Mkuze-Mtamvuna CMA'!F44,E_budgeted!F172),'Mkuze-Mtamvuna CMA'!F44)</f>
        <v>8624778.8954689354</v>
      </c>
      <c r="G124" s="32">
        <f>IF(INDEX(E_budgeted!$B$3:$G$13,MATCH($A124,E_budgeted!$A$3:$A$13,0),MATCH($A$121,E_budgeted!$B$2:$G$2,0))&gt;0,MIN('Mkuze-Mtamvuna CMA'!G44,E_budgeted!G172),'Mkuze-Mtamvuna CMA'!G44)</f>
        <v>8624778.8954689354</v>
      </c>
      <c r="H124" s="32">
        <f>IF(INDEX(E_budgeted!$B$3:$G$13,MATCH($A124,E_budgeted!$A$3:$A$13,0),MATCH($A$121,E_budgeted!$B$2:$G$2,0))&gt;0,MIN('Mkuze-Mtamvuna CMA'!H44,E_budgeted!H172),'Mkuze-Mtamvuna CMA'!H44)</f>
        <v>8624778.8954689354</v>
      </c>
      <c r="I124" s="32">
        <f>IF(INDEX(E_budgeted!$B$3:$G$13,MATCH($A124,E_budgeted!$A$3:$A$13,0),MATCH($A$121,E_budgeted!$B$2:$G$2,0))&gt;0,MIN('Mkuze-Mtamvuna CMA'!I44,E_budgeted!I172),'Mkuze-Mtamvuna CMA'!I44)</f>
        <v>8624778.8954689354</v>
      </c>
      <c r="J124" s="32">
        <f>IF(INDEX(E_budgeted!$B$3:$G$13,MATCH($A124,E_budgeted!$A$3:$A$13,0),MATCH($A$121,E_budgeted!$B$2:$G$2,0))&gt;0,MIN('Mkuze-Mtamvuna CMA'!J44,E_budgeted!J172),'Mkuze-Mtamvuna CMA'!J44)</f>
        <v>8624778.8954689354</v>
      </c>
      <c r="K124" s="32">
        <f>IF(INDEX(E_budgeted!$B$3:$G$13,MATCH($A124,E_budgeted!$A$3:$A$13,0),MATCH($A$121,E_budgeted!$B$2:$G$2,0))&gt;0,MIN('Mkuze-Mtamvuna CMA'!K44,E_budgeted!K172),'Mkuze-Mtamvuna CMA'!K44)</f>
        <v>8624778.8954689354</v>
      </c>
      <c r="L124" s="5">
        <f t="shared" ref="L124:L134" si="81">AVERAGE(B124:K124)</f>
        <v>8624778.8954689354</v>
      </c>
    </row>
    <row r="125" spans="1:12" x14ac:dyDescent="0.25">
      <c r="A125" s="4" t="s">
        <v>36</v>
      </c>
      <c r="B125" s="32">
        <f>IF(INDEX(E_budgeted!$B$3:$G$13,MATCH($A125,E_budgeted!$A$3:$A$13,0),MATCH($A$121,E_budgeted!$B$2:$G$2,0))&gt;0,MIN('Mkuze-Mtamvuna CMA'!B45,E_budgeted!B173),'Mkuze-Mtamvuna CMA'!B45)</f>
        <v>4727960.7639189819</v>
      </c>
      <c r="C125" s="32">
        <f>IF(INDEX(E_budgeted!$B$3:$G$13,MATCH($A125,E_budgeted!$A$3:$A$13,0),MATCH($A$121,E_budgeted!$B$2:$G$2,0))&gt;0,MIN('Mkuze-Mtamvuna CMA'!C45,E_budgeted!C173),'Mkuze-Mtamvuna CMA'!C45)</f>
        <v>4727960.7639189819</v>
      </c>
      <c r="D125" s="32">
        <f>IF(INDEX(E_budgeted!$B$3:$G$13,MATCH($A125,E_budgeted!$A$3:$A$13,0),MATCH($A$121,E_budgeted!$B$2:$G$2,0))&gt;0,MIN('Mkuze-Mtamvuna CMA'!D45,E_budgeted!D173),'Mkuze-Mtamvuna CMA'!D45)</f>
        <v>4727960.7639189819</v>
      </c>
      <c r="E125" s="32">
        <f>IF(INDEX(E_budgeted!$B$3:$G$13,MATCH($A125,E_budgeted!$A$3:$A$13,0),MATCH($A$121,E_budgeted!$B$2:$G$2,0))&gt;0,MIN('Mkuze-Mtamvuna CMA'!E45,E_budgeted!E173),'Mkuze-Mtamvuna CMA'!E45)</f>
        <v>4727960.7639189819</v>
      </c>
      <c r="F125" s="32">
        <f>IF(INDEX(E_budgeted!$B$3:$G$13,MATCH($A125,E_budgeted!$A$3:$A$13,0),MATCH($A$121,E_budgeted!$B$2:$G$2,0))&gt;0,MIN('Mkuze-Mtamvuna CMA'!F45,E_budgeted!F173),'Mkuze-Mtamvuna CMA'!F45)</f>
        <v>4727960.7639189819</v>
      </c>
      <c r="G125" s="32">
        <f>IF(INDEX(E_budgeted!$B$3:$G$13,MATCH($A125,E_budgeted!$A$3:$A$13,0),MATCH($A$121,E_budgeted!$B$2:$G$2,0))&gt;0,MIN('Mkuze-Mtamvuna CMA'!G45,E_budgeted!G173),'Mkuze-Mtamvuna CMA'!G45)</f>
        <v>4727960.7639189819</v>
      </c>
      <c r="H125" s="32">
        <f>IF(INDEX(E_budgeted!$B$3:$G$13,MATCH($A125,E_budgeted!$A$3:$A$13,0),MATCH($A$121,E_budgeted!$B$2:$G$2,0))&gt;0,MIN('Mkuze-Mtamvuna CMA'!H45,E_budgeted!H173),'Mkuze-Mtamvuna CMA'!H45)</f>
        <v>4727960.7639189819</v>
      </c>
      <c r="I125" s="32">
        <f>IF(INDEX(E_budgeted!$B$3:$G$13,MATCH($A125,E_budgeted!$A$3:$A$13,0),MATCH($A$121,E_budgeted!$B$2:$G$2,0))&gt;0,MIN('Mkuze-Mtamvuna CMA'!I45,E_budgeted!I173),'Mkuze-Mtamvuna CMA'!I45)</f>
        <v>4727960.7639189819</v>
      </c>
      <c r="J125" s="32">
        <f>IF(INDEX(E_budgeted!$B$3:$G$13,MATCH($A125,E_budgeted!$A$3:$A$13,0),MATCH($A$121,E_budgeted!$B$2:$G$2,0))&gt;0,MIN('Mkuze-Mtamvuna CMA'!J45,E_budgeted!J173),'Mkuze-Mtamvuna CMA'!J45)</f>
        <v>4727960.7639189819</v>
      </c>
      <c r="K125" s="32">
        <f>IF(INDEX(E_budgeted!$B$3:$G$13,MATCH($A125,E_budgeted!$A$3:$A$13,0),MATCH($A$121,E_budgeted!$B$2:$G$2,0))&gt;0,MIN('Mkuze-Mtamvuna CMA'!K45,E_budgeted!K173),'Mkuze-Mtamvuna CMA'!K45)</f>
        <v>4727960.7639189819</v>
      </c>
      <c r="L125" s="5">
        <f t="shared" si="81"/>
        <v>4727960.7639189819</v>
      </c>
    </row>
    <row r="126" spans="1:12" x14ac:dyDescent="0.25">
      <c r="A126" s="4" t="s">
        <v>11</v>
      </c>
      <c r="B126" s="32">
        <f>IF(INDEX(E_budgeted!$B$3:$G$13,MATCH($A126,E_budgeted!$A$3:$A$13,0),MATCH($A$121,E_budgeted!$B$2:$G$2,0))&gt;0,MIN('Mkuze-Mtamvuna CMA'!B46,E_budgeted!B174),'Mkuze-Mtamvuna CMA'!B46)</f>
        <v>0</v>
      </c>
      <c r="C126" s="32">
        <f>IF(INDEX(E_budgeted!$B$3:$G$13,MATCH($A126,E_budgeted!$A$3:$A$13,0),MATCH($A$121,E_budgeted!$B$2:$G$2,0))&gt;0,MIN('Mkuze-Mtamvuna CMA'!C46,E_budgeted!C174),'Mkuze-Mtamvuna CMA'!C46)</f>
        <v>0</v>
      </c>
      <c r="D126" s="32">
        <f>IF(INDEX(E_budgeted!$B$3:$G$13,MATCH($A126,E_budgeted!$A$3:$A$13,0),MATCH($A$121,E_budgeted!$B$2:$G$2,0))&gt;0,MIN('Mkuze-Mtamvuna CMA'!D46,E_budgeted!D174),'Mkuze-Mtamvuna CMA'!D46)</f>
        <v>0</v>
      </c>
      <c r="E126" s="32">
        <f>IF(INDEX(E_budgeted!$B$3:$G$13,MATCH($A126,E_budgeted!$A$3:$A$13,0),MATCH($A$121,E_budgeted!$B$2:$G$2,0))&gt;0,MIN('Mkuze-Mtamvuna CMA'!E46,E_budgeted!E174),'Mkuze-Mtamvuna CMA'!E46)</f>
        <v>0</v>
      </c>
      <c r="F126" s="32">
        <f>IF(INDEX(E_budgeted!$B$3:$G$13,MATCH($A126,E_budgeted!$A$3:$A$13,0),MATCH($A$121,E_budgeted!$B$2:$G$2,0))&gt;0,MIN('Mkuze-Mtamvuna CMA'!F46,E_budgeted!F174),'Mkuze-Mtamvuna CMA'!F46)</f>
        <v>0</v>
      </c>
      <c r="G126" s="32">
        <f>IF(INDEX(E_budgeted!$B$3:$G$13,MATCH($A126,E_budgeted!$A$3:$A$13,0),MATCH($A$121,E_budgeted!$B$2:$G$2,0))&gt;0,MIN('Mkuze-Mtamvuna CMA'!G46,E_budgeted!G174),'Mkuze-Mtamvuna CMA'!G46)</f>
        <v>0</v>
      </c>
      <c r="H126" s="32">
        <f>IF(INDEX(E_budgeted!$B$3:$G$13,MATCH($A126,E_budgeted!$A$3:$A$13,0),MATCH($A$121,E_budgeted!$B$2:$G$2,0))&gt;0,MIN('Mkuze-Mtamvuna CMA'!H46,E_budgeted!H174),'Mkuze-Mtamvuna CMA'!H46)</f>
        <v>0</v>
      </c>
      <c r="I126" s="32">
        <f>IF(INDEX(E_budgeted!$B$3:$G$13,MATCH($A126,E_budgeted!$A$3:$A$13,0),MATCH($A$121,E_budgeted!$B$2:$G$2,0))&gt;0,MIN('Mkuze-Mtamvuna CMA'!I46,E_budgeted!I174),'Mkuze-Mtamvuna CMA'!I46)</f>
        <v>0</v>
      </c>
      <c r="J126" s="32">
        <f>IF(INDEX(E_budgeted!$B$3:$G$13,MATCH($A126,E_budgeted!$A$3:$A$13,0),MATCH($A$121,E_budgeted!$B$2:$G$2,0))&gt;0,MIN('Mkuze-Mtamvuna CMA'!J46,E_budgeted!J174),'Mkuze-Mtamvuna CMA'!J46)</f>
        <v>0</v>
      </c>
      <c r="K126" s="32">
        <f>IF(INDEX(E_budgeted!$B$3:$G$13,MATCH($A126,E_budgeted!$A$3:$A$13,0),MATCH($A$121,E_budgeted!$B$2:$G$2,0))&gt;0,MIN('Mkuze-Mtamvuna CMA'!K46,E_budgeted!K174),'Mkuze-Mtamvuna CMA'!K46)</f>
        <v>0</v>
      </c>
      <c r="L126" s="5">
        <f t="shared" si="81"/>
        <v>0</v>
      </c>
    </row>
    <row r="127" spans="1:12" x14ac:dyDescent="0.25">
      <c r="A127" s="4" t="s">
        <v>124</v>
      </c>
      <c r="B127" s="32">
        <f>IF(INDEX(E_budgeted!$B$3:$G$13,MATCH($A127,E_budgeted!$A$3:$A$13,0),MATCH($A$121,E_budgeted!$B$2:$G$2,0))&gt;0,MIN('Mkuze-Mtamvuna CMA'!B47,E_budgeted!B175),'Mkuze-Mtamvuna CMA'!B47)</f>
        <v>500000</v>
      </c>
      <c r="C127" s="32">
        <f>IF(INDEX(E_budgeted!$B$3:$G$13,MATCH($A127,E_budgeted!$A$3:$A$13,0),MATCH($A$121,E_budgeted!$B$2:$G$2,0))&gt;0,MIN('Mkuze-Mtamvuna CMA'!C47,E_budgeted!C175),'Mkuze-Mtamvuna CMA'!C47)</f>
        <v>500000</v>
      </c>
      <c r="D127" s="32">
        <f>IF(INDEX(E_budgeted!$B$3:$G$13,MATCH($A127,E_budgeted!$A$3:$A$13,0),MATCH($A$121,E_budgeted!$B$2:$G$2,0))&gt;0,MIN('Mkuze-Mtamvuna CMA'!D47,E_budgeted!D175),'Mkuze-Mtamvuna CMA'!D47)</f>
        <v>500000</v>
      </c>
      <c r="E127" s="32">
        <f>IF(INDEX(E_budgeted!$B$3:$G$13,MATCH($A127,E_budgeted!$A$3:$A$13,0),MATCH($A$121,E_budgeted!$B$2:$G$2,0))&gt;0,MIN('Mkuze-Mtamvuna CMA'!E47,E_budgeted!E175),'Mkuze-Mtamvuna CMA'!E47)</f>
        <v>500000</v>
      </c>
      <c r="F127" s="32">
        <f>IF(INDEX(E_budgeted!$B$3:$G$13,MATCH($A127,E_budgeted!$A$3:$A$13,0),MATCH($A$121,E_budgeted!$B$2:$G$2,0))&gt;0,MIN('Mkuze-Mtamvuna CMA'!F47,E_budgeted!F175),'Mkuze-Mtamvuna CMA'!F47)</f>
        <v>500000</v>
      </c>
      <c r="G127" s="32">
        <f>IF(INDEX(E_budgeted!$B$3:$G$13,MATCH($A127,E_budgeted!$A$3:$A$13,0),MATCH($A$121,E_budgeted!$B$2:$G$2,0))&gt;0,MIN('Mkuze-Mtamvuna CMA'!G47,E_budgeted!G175),'Mkuze-Mtamvuna CMA'!G47)</f>
        <v>500000</v>
      </c>
      <c r="H127" s="32">
        <f>IF(INDEX(E_budgeted!$B$3:$G$13,MATCH($A127,E_budgeted!$A$3:$A$13,0),MATCH($A$121,E_budgeted!$B$2:$G$2,0))&gt;0,MIN('Mkuze-Mtamvuna CMA'!H47,E_budgeted!H175),'Mkuze-Mtamvuna CMA'!H47)</f>
        <v>500000</v>
      </c>
      <c r="I127" s="32">
        <f>IF(INDEX(E_budgeted!$B$3:$G$13,MATCH($A127,E_budgeted!$A$3:$A$13,0),MATCH($A$121,E_budgeted!$B$2:$G$2,0))&gt;0,MIN('Mkuze-Mtamvuna CMA'!I47,E_budgeted!I175),'Mkuze-Mtamvuna CMA'!I47)</f>
        <v>500000</v>
      </c>
      <c r="J127" s="32">
        <f>IF(INDEX(E_budgeted!$B$3:$G$13,MATCH($A127,E_budgeted!$A$3:$A$13,0),MATCH($A$121,E_budgeted!$B$2:$G$2,0))&gt;0,MIN('Mkuze-Mtamvuna CMA'!J47,E_budgeted!J175),'Mkuze-Mtamvuna CMA'!J47)</f>
        <v>500000</v>
      </c>
      <c r="K127" s="32">
        <f>IF(INDEX(E_budgeted!$B$3:$G$13,MATCH($A127,E_budgeted!$A$3:$A$13,0),MATCH($A$121,E_budgeted!$B$2:$G$2,0))&gt;0,MIN('Mkuze-Mtamvuna CMA'!K47,E_budgeted!K175),'Mkuze-Mtamvuna CMA'!K47)</f>
        <v>500000</v>
      </c>
      <c r="L127" s="5">
        <f t="shared" si="81"/>
        <v>500000</v>
      </c>
    </row>
    <row r="128" spans="1:12" x14ac:dyDescent="0.25">
      <c r="A128" s="4" t="s">
        <v>12</v>
      </c>
      <c r="B128" s="32">
        <f>IF(INDEX(E_budgeted!$B$3:$G$13,MATCH($A128,E_budgeted!$A$3:$A$13,0),MATCH($A$121,E_budgeted!$B$2:$G$2,0))&gt;0,MIN('Mkuze-Mtamvuna CMA'!B48,E_budgeted!B176),'Mkuze-Mtamvuna CMA'!B48)</f>
        <v>27188165.163215853</v>
      </c>
      <c r="C128" s="32">
        <f>IF(INDEX(E_budgeted!$B$3:$G$13,MATCH($A128,E_budgeted!$A$3:$A$13,0),MATCH($A$121,E_budgeted!$B$2:$G$2,0))&gt;0,MIN('Mkuze-Mtamvuna CMA'!C48,E_budgeted!C176),'Mkuze-Mtamvuna CMA'!C48)</f>
        <v>27188165.163215853</v>
      </c>
      <c r="D128" s="32">
        <f>IF(INDEX(E_budgeted!$B$3:$G$13,MATCH($A128,E_budgeted!$A$3:$A$13,0),MATCH($A$121,E_budgeted!$B$2:$G$2,0))&gt;0,MIN('Mkuze-Mtamvuna CMA'!D48,E_budgeted!D176),'Mkuze-Mtamvuna CMA'!D48)</f>
        <v>27188165.163215853</v>
      </c>
      <c r="E128" s="32">
        <f>IF(INDEX(E_budgeted!$B$3:$G$13,MATCH($A128,E_budgeted!$A$3:$A$13,0),MATCH($A$121,E_budgeted!$B$2:$G$2,0))&gt;0,MIN('Mkuze-Mtamvuna CMA'!E48,E_budgeted!E176),'Mkuze-Mtamvuna CMA'!E48)</f>
        <v>27188165.163215853</v>
      </c>
      <c r="F128" s="32">
        <f>IF(INDEX(E_budgeted!$B$3:$G$13,MATCH($A128,E_budgeted!$A$3:$A$13,0),MATCH($A$121,E_budgeted!$B$2:$G$2,0))&gt;0,MIN('Mkuze-Mtamvuna CMA'!F48,E_budgeted!F176),'Mkuze-Mtamvuna CMA'!F48)</f>
        <v>27188165.163215853</v>
      </c>
      <c r="G128" s="32">
        <f>IF(INDEX(E_budgeted!$B$3:$G$13,MATCH($A128,E_budgeted!$A$3:$A$13,0),MATCH($A$121,E_budgeted!$B$2:$G$2,0))&gt;0,MIN('Mkuze-Mtamvuna CMA'!G48,E_budgeted!G176),'Mkuze-Mtamvuna CMA'!G48)</f>
        <v>27188165.163215853</v>
      </c>
      <c r="H128" s="32">
        <f>IF(INDEX(E_budgeted!$B$3:$G$13,MATCH($A128,E_budgeted!$A$3:$A$13,0),MATCH($A$121,E_budgeted!$B$2:$G$2,0))&gt;0,MIN('Mkuze-Mtamvuna CMA'!H48,E_budgeted!H176),'Mkuze-Mtamvuna CMA'!H48)</f>
        <v>27188165.163215853</v>
      </c>
      <c r="I128" s="32">
        <f>IF(INDEX(E_budgeted!$B$3:$G$13,MATCH($A128,E_budgeted!$A$3:$A$13,0),MATCH($A$121,E_budgeted!$B$2:$G$2,0))&gt;0,MIN('Mkuze-Mtamvuna CMA'!I48,E_budgeted!I176),'Mkuze-Mtamvuna CMA'!I48)</f>
        <v>27188165.163215853</v>
      </c>
      <c r="J128" s="32">
        <f>IF(INDEX(E_budgeted!$B$3:$G$13,MATCH($A128,E_budgeted!$A$3:$A$13,0),MATCH($A$121,E_budgeted!$B$2:$G$2,0))&gt;0,MIN('Mkuze-Mtamvuna CMA'!J48,E_budgeted!J176),'Mkuze-Mtamvuna CMA'!J48)</f>
        <v>27188165.163215853</v>
      </c>
      <c r="K128" s="32">
        <f>IF(INDEX(E_budgeted!$B$3:$G$13,MATCH($A128,E_budgeted!$A$3:$A$13,0),MATCH($A$121,E_budgeted!$B$2:$G$2,0))&gt;0,MIN('Mkuze-Mtamvuna CMA'!K48,E_budgeted!K176),'Mkuze-Mtamvuna CMA'!K48)</f>
        <v>27188165.163215853</v>
      </c>
      <c r="L128" s="5">
        <f t="shared" si="81"/>
        <v>27188165.163215853</v>
      </c>
    </row>
    <row r="129" spans="1:12" x14ac:dyDescent="0.25">
      <c r="A129" s="4" t="s">
        <v>13</v>
      </c>
      <c r="B129" s="32">
        <f>IF(INDEX(E_budgeted!$B$3:$G$13,MATCH($A129,E_budgeted!$A$3:$A$13,0),MATCH($A$121,E_budgeted!$B$2:$G$2,0))&gt;0,MIN('Mkuze-Mtamvuna CMA'!B49,E_budgeted!B177),'Mkuze-Mtamvuna CMA'!B49)</f>
        <v>0</v>
      </c>
      <c r="C129" s="32">
        <f>IF(INDEX(E_budgeted!$B$3:$G$13,MATCH($A129,E_budgeted!$A$3:$A$13,0),MATCH($A$121,E_budgeted!$B$2:$G$2,0))&gt;0,MIN('Mkuze-Mtamvuna CMA'!C49,E_budgeted!C177),'Mkuze-Mtamvuna CMA'!C49)</f>
        <v>0</v>
      </c>
      <c r="D129" s="32">
        <f>IF(INDEX(E_budgeted!$B$3:$G$13,MATCH($A129,E_budgeted!$A$3:$A$13,0),MATCH($A$121,E_budgeted!$B$2:$G$2,0))&gt;0,MIN('Mkuze-Mtamvuna CMA'!D49,E_budgeted!D177),'Mkuze-Mtamvuna CMA'!D49)</f>
        <v>0</v>
      </c>
      <c r="E129" s="32">
        <f>IF(INDEX(E_budgeted!$B$3:$G$13,MATCH($A129,E_budgeted!$A$3:$A$13,0),MATCH($A$121,E_budgeted!$B$2:$G$2,0))&gt;0,MIN('Mkuze-Mtamvuna CMA'!E49,E_budgeted!E177),'Mkuze-Mtamvuna CMA'!E49)</f>
        <v>0</v>
      </c>
      <c r="F129" s="32">
        <f>IF(INDEX(E_budgeted!$B$3:$G$13,MATCH($A129,E_budgeted!$A$3:$A$13,0),MATCH($A$121,E_budgeted!$B$2:$G$2,0))&gt;0,MIN('Mkuze-Mtamvuna CMA'!F49,E_budgeted!F177),'Mkuze-Mtamvuna CMA'!F49)</f>
        <v>0</v>
      </c>
      <c r="G129" s="32">
        <f>IF(INDEX(E_budgeted!$B$3:$G$13,MATCH($A129,E_budgeted!$A$3:$A$13,0),MATCH($A$121,E_budgeted!$B$2:$G$2,0))&gt;0,MIN('Mkuze-Mtamvuna CMA'!G49,E_budgeted!G177),'Mkuze-Mtamvuna CMA'!G49)</f>
        <v>0</v>
      </c>
      <c r="H129" s="32">
        <f>IF(INDEX(E_budgeted!$B$3:$G$13,MATCH($A129,E_budgeted!$A$3:$A$13,0),MATCH($A$121,E_budgeted!$B$2:$G$2,0))&gt;0,MIN('Mkuze-Mtamvuna CMA'!H49,E_budgeted!H177),'Mkuze-Mtamvuna CMA'!H49)</f>
        <v>0</v>
      </c>
      <c r="I129" s="32">
        <f>IF(INDEX(E_budgeted!$B$3:$G$13,MATCH($A129,E_budgeted!$A$3:$A$13,0),MATCH($A$121,E_budgeted!$B$2:$G$2,0))&gt;0,MIN('Mkuze-Mtamvuna CMA'!I49,E_budgeted!I177),'Mkuze-Mtamvuna CMA'!I49)</f>
        <v>0</v>
      </c>
      <c r="J129" s="32">
        <f>IF(INDEX(E_budgeted!$B$3:$G$13,MATCH($A129,E_budgeted!$A$3:$A$13,0),MATCH($A$121,E_budgeted!$B$2:$G$2,0))&gt;0,MIN('Mkuze-Mtamvuna CMA'!J49,E_budgeted!J177),'Mkuze-Mtamvuna CMA'!J49)</f>
        <v>0</v>
      </c>
      <c r="K129" s="32">
        <f>IF(INDEX(E_budgeted!$B$3:$G$13,MATCH($A129,E_budgeted!$A$3:$A$13,0),MATCH($A$121,E_budgeted!$B$2:$G$2,0))&gt;0,MIN('Mkuze-Mtamvuna CMA'!K49,E_budgeted!K177),'Mkuze-Mtamvuna CMA'!K49)</f>
        <v>0</v>
      </c>
      <c r="L129" s="5">
        <f t="shared" si="81"/>
        <v>0</v>
      </c>
    </row>
    <row r="130" spans="1:12" x14ac:dyDescent="0.25">
      <c r="A130" s="4" t="s">
        <v>14</v>
      </c>
      <c r="B130" s="32">
        <f>IF(INDEX(E_budgeted!$B$3:$G$13,MATCH($A130,E_budgeted!$A$3:$A$13,0),MATCH($A$121,E_budgeted!$B$2:$G$2,0))&gt;0,MIN('Mkuze-Mtamvuna CMA'!B50,E_budgeted!B178),'Mkuze-Mtamvuna CMA'!B50)</f>
        <v>0</v>
      </c>
      <c r="C130" s="32">
        <f>IF(INDEX(E_budgeted!$B$3:$G$13,MATCH($A130,E_budgeted!$A$3:$A$13,0),MATCH($A$121,E_budgeted!$B$2:$G$2,0))&gt;0,MIN('Mkuze-Mtamvuna CMA'!C50,E_budgeted!C178),'Mkuze-Mtamvuna CMA'!C50)</f>
        <v>0</v>
      </c>
      <c r="D130" s="32">
        <f>IF(INDEX(E_budgeted!$B$3:$G$13,MATCH($A130,E_budgeted!$A$3:$A$13,0),MATCH($A$121,E_budgeted!$B$2:$G$2,0))&gt;0,MIN('Mkuze-Mtamvuna CMA'!D50,E_budgeted!D178),'Mkuze-Mtamvuna CMA'!D50)</f>
        <v>0</v>
      </c>
      <c r="E130" s="32">
        <f>IF(INDEX(E_budgeted!$B$3:$G$13,MATCH($A130,E_budgeted!$A$3:$A$13,0),MATCH($A$121,E_budgeted!$B$2:$G$2,0))&gt;0,MIN('Mkuze-Mtamvuna CMA'!E50,E_budgeted!E178),'Mkuze-Mtamvuna CMA'!E50)</f>
        <v>0</v>
      </c>
      <c r="F130" s="32">
        <f>IF(INDEX(E_budgeted!$B$3:$G$13,MATCH($A130,E_budgeted!$A$3:$A$13,0),MATCH($A$121,E_budgeted!$B$2:$G$2,0))&gt;0,MIN('Mkuze-Mtamvuna CMA'!F50,E_budgeted!F178),'Mkuze-Mtamvuna CMA'!F50)</f>
        <v>0</v>
      </c>
      <c r="G130" s="32">
        <f>IF(INDEX(E_budgeted!$B$3:$G$13,MATCH($A130,E_budgeted!$A$3:$A$13,0),MATCH($A$121,E_budgeted!$B$2:$G$2,0))&gt;0,MIN('Mkuze-Mtamvuna CMA'!G50,E_budgeted!G178),'Mkuze-Mtamvuna CMA'!G50)</f>
        <v>0</v>
      </c>
      <c r="H130" s="32">
        <f>IF(INDEX(E_budgeted!$B$3:$G$13,MATCH($A130,E_budgeted!$A$3:$A$13,0),MATCH($A$121,E_budgeted!$B$2:$G$2,0))&gt;0,MIN('Mkuze-Mtamvuna CMA'!H50,E_budgeted!H178),'Mkuze-Mtamvuna CMA'!H50)</f>
        <v>0</v>
      </c>
      <c r="I130" s="32">
        <f>IF(INDEX(E_budgeted!$B$3:$G$13,MATCH($A130,E_budgeted!$A$3:$A$13,0),MATCH($A$121,E_budgeted!$B$2:$G$2,0))&gt;0,MIN('Mkuze-Mtamvuna CMA'!I50,E_budgeted!I178),'Mkuze-Mtamvuna CMA'!I50)</f>
        <v>0</v>
      </c>
      <c r="J130" s="32">
        <f>IF(INDEX(E_budgeted!$B$3:$G$13,MATCH($A130,E_budgeted!$A$3:$A$13,0),MATCH($A$121,E_budgeted!$B$2:$G$2,0))&gt;0,MIN('Mkuze-Mtamvuna CMA'!J50,E_budgeted!J178),'Mkuze-Mtamvuna CMA'!J50)</f>
        <v>0</v>
      </c>
      <c r="K130" s="32">
        <f>IF(INDEX(E_budgeted!$B$3:$G$13,MATCH($A130,E_budgeted!$A$3:$A$13,0),MATCH($A$121,E_budgeted!$B$2:$G$2,0))&gt;0,MIN('Mkuze-Mtamvuna CMA'!K50,E_budgeted!K178),'Mkuze-Mtamvuna CMA'!K50)</f>
        <v>0</v>
      </c>
      <c r="L130" s="5">
        <f t="shared" si="81"/>
        <v>0</v>
      </c>
    </row>
    <row r="131" spans="1:12" x14ac:dyDescent="0.25">
      <c r="A131" s="4" t="s">
        <v>125</v>
      </c>
      <c r="B131" s="32">
        <f>IF(INDEX(E_budgeted!$B$3:$G$13,MATCH($A131,E_budgeted!$A$3:$A$13,0),MATCH($A$121,E_budgeted!$B$2:$G$2,0))&gt;0,MIN('Mkuze-Mtamvuna CMA'!B51,E_budgeted!B179),'Mkuze-Mtamvuna CMA'!B51)</f>
        <v>899159.83437524864</v>
      </c>
      <c r="C131" s="32">
        <f>IF(INDEX(E_budgeted!$B$3:$G$13,MATCH($A131,E_budgeted!$A$3:$A$13,0),MATCH($A$121,E_budgeted!$B$2:$G$2,0))&gt;0,MIN('Mkuze-Mtamvuna CMA'!C51,E_budgeted!C179),'Mkuze-Mtamvuna CMA'!C51)</f>
        <v>899159.83437524864</v>
      </c>
      <c r="D131" s="32">
        <f>IF(INDEX(E_budgeted!$B$3:$G$13,MATCH($A131,E_budgeted!$A$3:$A$13,0),MATCH($A$121,E_budgeted!$B$2:$G$2,0))&gt;0,MIN('Mkuze-Mtamvuna CMA'!D51,E_budgeted!D179),'Mkuze-Mtamvuna CMA'!D51)</f>
        <v>899159.83437524864</v>
      </c>
      <c r="E131" s="32">
        <f>IF(INDEX(E_budgeted!$B$3:$G$13,MATCH($A131,E_budgeted!$A$3:$A$13,0),MATCH($A$121,E_budgeted!$B$2:$G$2,0))&gt;0,MIN('Mkuze-Mtamvuna CMA'!E51,E_budgeted!E179),'Mkuze-Mtamvuna CMA'!E51)</f>
        <v>899159.83437524864</v>
      </c>
      <c r="F131" s="32">
        <f>IF(INDEX(E_budgeted!$B$3:$G$13,MATCH($A131,E_budgeted!$A$3:$A$13,0),MATCH($A$121,E_budgeted!$B$2:$G$2,0))&gt;0,MIN('Mkuze-Mtamvuna CMA'!F51,E_budgeted!F179),'Mkuze-Mtamvuna CMA'!F51)</f>
        <v>899159.83437524864</v>
      </c>
      <c r="G131" s="32">
        <f>IF(INDEX(E_budgeted!$B$3:$G$13,MATCH($A131,E_budgeted!$A$3:$A$13,0),MATCH($A$121,E_budgeted!$B$2:$G$2,0))&gt;0,MIN('Mkuze-Mtamvuna CMA'!G51,E_budgeted!G179),'Mkuze-Mtamvuna CMA'!G51)</f>
        <v>899159.83437524864</v>
      </c>
      <c r="H131" s="32">
        <f>IF(INDEX(E_budgeted!$B$3:$G$13,MATCH($A131,E_budgeted!$A$3:$A$13,0),MATCH($A$121,E_budgeted!$B$2:$G$2,0))&gt;0,MIN('Mkuze-Mtamvuna CMA'!H51,E_budgeted!H179),'Mkuze-Mtamvuna CMA'!H51)</f>
        <v>899159.83437524864</v>
      </c>
      <c r="I131" s="32">
        <f>IF(INDEX(E_budgeted!$B$3:$G$13,MATCH($A131,E_budgeted!$A$3:$A$13,0),MATCH($A$121,E_budgeted!$B$2:$G$2,0))&gt;0,MIN('Mkuze-Mtamvuna CMA'!I51,E_budgeted!I179),'Mkuze-Mtamvuna CMA'!I51)</f>
        <v>899159.83437524864</v>
      </c>
      <c r="J131" s="32">
        <f>IF(INDEX(E_budgeted!$B$3:$G$13,MATCH($A131,E_budgeted!$A$3:$A$13,0),MATCH($A$121,E_budgeted!$B$2:$G$2,0))&gt;0,MIN('Mkuze-Mtamvuna CMA'!J51,E_budgeted!J179),'Mkuze-Mtamvuna CMA'!J51)</f>
        <v>899159.83437524864</v>
      </c>
      <c r="K131" s="32">
        <f>IF(INDEX(E_budgeted!$B$3:$G$13,MATCH($A131,E_budgeted!$A$3:$A$13,0),MATCH($A$121,E_budgeted!$B$2:$G$2,0))&gt;0,MIN('Mkuze-Mtamvuna CMA'!K51,E_budgeted!K179),'Mkuze-Mtamvuna CMA'!K51)</f>
        <v>899159.83437524864</v>
      </c>
      <c r="L131" s="5">
        <f t="shared" si="81"/>
        <v>899159.83437524852</v>
      </c>
    </row>
    <row r="132" spans="1:12" x14ac:dyDescent="0.25">
      <c r="A132" s="4" t="s">
        <v>37</v>
      </c>
      <c r="B132" s="32">
        <f>IF(INDEX(E_budgeted!$B$3:$G$13,MATCH($A132,E_budgeted!$A$3:$A$13,0),MATCH($A$121,E_budgeted!$B$2:$G$2,0))&gt;0,MIN('Mkuze-Mtamvuna CMA'!B52,E_budgeted!B180),'Mkuze-Mtamvuna CMA'!B52)</f>
        <v>26154200.551459838</v>
      </c>
      <c r="C132" s="32">
        <f>IF(INDEX(E_budgeted!$B$3:$G$13,MATCH($A132,E_budgeted!$A$3:$A$13,0),MATCH($A$121,E_budgeted!$B$2:$G$2,0))&gt;0,MIN('Mkuze-Mtamvuna CMA'!C52,E_budgeted!C180),'Mkuze-Mtamvuna CMA'!C52)</f>
        <v>26154200.551459838</v>
      </c>
      <c r="D132" s="32">
        <f>IF(INDEX(E_budgeted!$B$3:$G$13,MATCH($A132,E_budgeted!$A$3:$A$13,0),MATCH($A$121,E_budgeted!$B$2:$G$2,0))&gt;0,MIN('Mkuze-Mtamvuna CMA'!D52,E_budgeted!D180),'Mkuze-Mtamvuna CMA'!D52)</f>
        <v>26154200.551459838</v>
      </c>
      <c r="E132" s="32">
        <f>IF(INDEX(E_budgeted!$B$3:$G$13,MATCH($A132,E_budgeted!$A$3:$A$13,0),MATCH($A$121,E_budgeted!$B$2:$G$2,0))&gt;0,MIN('Mkuze-Mtamvuna CMA'!E52,E_budgeted!E180),'Mkuze-Mtamvuna CMA'!E52)</f>
        <v>26154200.551459838</v>
      </c>
      <c r="F132" s="32">
        <f>IF(INDEX(E_budgeted!$B$3:$G$13,MATCH($A132,E_budgeted!$A$3:$A$13,0),MATCH($A$121,E_budgeted!$B$2:$G$2,0))&gt;0,MIN('Mkuze-Mtamvuna CMA'!F52,E_budgeted!F180),'Mkuze-Mtamvuna CMA'!F52)</f>
        <v>26154200.551459838</v>
      </c>
      <c r="G132" s="32">
        <f>IF(INDEX(E_budgeted!$B$3:$G$13,MATCH($A132,E_budgeted!$A$3:$A$13,0),MATCH($A$121,E_budgeted!$B$2:$G$2,0))&gt;0,MIN('Mkuze-Mtamvuna CMA'!G52,E_budgeted!G180),'Mkuze-Mtamvuna CMA'!G52)</f>
        <v>26154200.551459838</v>
      </c>
      <c r="H132" s="32">
        <f>IF(INDEX(E_budgeted!$B$3:$G$13,MATCH($A132,E_budgeted!$A$3:$A$13,0),MATCH($A$121,E_budgeted!$B$2:$G$2,0))&gt;0,MIN('Mkuze-Mtamvuna CMA'!H52,E_budgeted!H180),'Mkuze-Mtamvuna CMA'!H52)</f>
        <v>26154200.551459838</v>
      </c>
      <c r="I132" s="32">
        <f>IF(INDEX(E_budgeted!$B$3:$G$13,MATCH($A132,E_budgeted!$A$3:$A$13,0),MATCH($A$121,E_budgeted!$B$2:$G$2,0))&gt;0,MIN('Mkuze-Mtamvuna CMA'!I52,E_budgeted!I180),'Mkuze-Mtamvuna CMA'!I52)</f>
        <v>26154200.551459838</v>
      </c>
      <c r="J132" s="32">
        <f>IF(INDEX(E_budgeted!$B$3:$G$13,MATCH($A132,E_budgeted!$A$3:$A$13,0),MATCH($A$121,E_budgeted!$B$2:$G$2,0))&gt;0,MIN('Mkuze-Mtamvuna CMA'!J52,E_budgeted!J180),'Mkuze-Mtamvuna CMA'!J52)</f>
        <v>26154200.551459838</v>
      </c>
      <c r="K132" s="32">
        <f>IF(INDEX(E_budgeted!$B$3:$G$13,MATCH($A132,E_budgeted!$A$3:$A$13,0),MATCH($A$121,E_budgeted!$B$2:$G$2,0))&gt;0,MIN('Mkuze-Mtamvuna CMA'!K52,E_budgeted!K180),'Mkuze-Mtamvuna CMA'!K52)</f>
        <v>26154200.551459838</v>
      </c>
      <c r="L132" s="5">
        <f t="shared" si="81"/>
        <v>26154200.551459841</v>
      </c>
    </row>
    <row r="133" spans="1:12" x14ac:dyDescent="0.25">
      <c r="A133" s="4" t="s">
        <v>38</v>
      </c>
      <c r="B133" s="32">
        <f>IF(INDEX(E_budgeted!$B$3:$G$13,MATCH($A133,E_budgeted!$A$3:$A$13,0),MATCH($A$121,E_budgeted!$B$2:$G$2,0))&gt;0,MIN('Mkuze-Mtamvuna CMA'!B53,E_budgeted!B181),'Mkuze-Mtamvuna CMA'!B53)</f>
        <v>1001394.4499999998</v>
      </c>
      <c r="C133" s="32">
        <f>IF(INDEX(E_budgeted!$B$3:$G$13,MATCH($A133,E_budgeted!$A$3:$A$13,0),MATCH($A$121,E_budgeted!$B$2:$G$2,0))&gt;0,MIN('Mkuze-Mtamvuna CMA'!C53,E_budgeted!C181),'Mkuze-Mtamvuna CMA'!C53)</f>
        <v>1001394.4499999998</v>
      </c>
      <c r="D133" s="32">
        <f>IF(INDEX(E_budgeted!$B$3:$G$13,MATCH($A133,E_budgeted!$A$3:$A$13,0),MATCH($A$121,E_budgeted!$B$2:$G$2,0))&gt;0,MIN('Mkuze-Mtamvuna CMA'!D53,E_budgeted!D181),'Mkuze-Mtamvuna CMA'!D53)</f>
        <v>1001394.4499999998</v>
      </c>
      <c r="E133" s="32">
        <f>IF(INDEX(E_budgeted!$B$3:$G$13,MATCH($A133,E_budgeted!$A$3:$A$13,0),MATCH($A$121,E_budgeted!$B$2:$G$2,0))&gt;0,MIN('Mkuze-Mtamvuna CMA'!E53,E_budgeted!E181),'Mkuze-Mtamvuna CMA'!E53)</f>
        <v>1001394.4499999998</v>
      </c>
      <c r="F133" s="32">
        <f>IF(INDEX(E_budgeted!$B$3:$G$13,MATCH($A133,E_budgeted!$A$3:$A$13,0),MATCH($A$121,E_budgeted!$B$2:$G$2,0))&gt;0,MIN('Mkuze-Mtamvuna CMA'!F53,E_budgeted!F181),'Mkuze-Mtamvuna CMA'!F53)</f>
        <v>1001394.4499999998</v>
      </c>
      <c r="G133" s="32">
        <f>IF(INDEX(E_budgeted!$B$3:$G$13,MATCH($A133,E_budgeted!$A$3:$A$13,0),MATCH($A$121,E_budgeted!$B$2:$G$2,0))&gt;0,MIN('Mkuze-Mtamvuna CMA'!G53,E_budgeted!G181),'Mkuze-Mtamvuna CMA'!G53)</f>
        <v>1001394.4499999998</v>
      </c>
      <c r="H133" s="32">
        <f>IF(INDEX(E_budgeted!$B$3:$G$13,MATCH($A133,E_budgeted!$A$3:$A$13,0),MATCH($A$121,E_budgeted!$B$2:$G$2,0))&gt;0,MIN('Mkuze-Mtamvuna CMA'!H53,E_budgeted!H181),'Mkuze-Mtamvuna CMA'!H53)</f>
        <v>1001394.4499999998</v>
      </c>
      <c r="I133" s="32">
        <f>IF(INDEX(E_budgeted!$B$3:$G$13,MATCH($A133,E_budgeted!$A$3:$A$13,0),MATCH($A$121,E_budgeted!$B$2:$G$2,0))&gt;0,MIN('Mkuze-Mtamvuna CMA'!I53,E_budgeted!I181),'Mkuze-Mtamvuna CMA'!I53)</f>
        <v>1001394.4499999998</v>
      </c>
      <c r="J133" s="32">
        <f>IF(INDEX(E_budgeted!$B$3:$G$13,MATCH($A133,E_budgeted!$A$3:$A$13,0),MATCH($A$121,E_budgeted!$B$2:$G$2,0))&gt;0,MIN('Mkuze-Mtamvuna CMA'!J53,E_budgeted!J181),'Mkuze-Mtamvuna CMA'!J53)</f>
        <v>1001394.4499999998</v>
      </c>
      <c r="K133" s="32">
        <f>IF(INDEX(E_budgeted!$B$3:$G$13,MATCH($A133,E_budgeted!$A$3:$A$13,0),MATCH($A$121,E_budgeted!$B$2:$G$2,0))&gt;0,MIN('Mkuze-Mtamvuna CMA'!K53,E_budgeted!K181),'Mkuze-Mtamvuna CMA'!K53)</f>
        <v>1001394.4499999998</v>
      </c>
      <c r="L133" s="5">
        <f t="shared" si="81"/>
        <v>1001394.4499999998</v>
      </c>
    </row>
    <row r="134" spans="1:12" x14ac:dyDescent="0.25">
      <c r="A134" s="4" t="s">
        <v>15</v>
      </c>
      <c r="B134" s="13">
        <f>IF(INDEX(E_budgeted!$B$3:$G$13,MATCH($A134,E_budgeted!$A$3:$A$13,0),MATCH($A$121,E_budgeted!$B$2:$G$2,0))&gt;0,MIN('Mkuze-Mtamvuna CMA'!B54,E_budgeted!B182),'Mkuze-Mtamvuna CMA'!B54)</f>
        <v>17344926.445833329</v>
      </c>
      <c r="C134" s="13">
        <f>IF(INDEX(E_budgeted!$B$3:$G$13,MATCH($A134,E_budgeted!$A$3:$A$13,0),MATCH($A$121,E_budgeted!$B$2:$G$2,0))&gt;0,MIN('Mkuze-Mtamvuna CMA'!C54,E_budgeted!C182),'Mkuze-Mtamvuna CMA'!C54)</f>
        <v>17344926.445833329</v>
      </c>
      <c r="D134" s="13">
        <f>IF(INDEX(E_budgeted!$B$3:$G$13,MATCH($A134,E_budgeted!$A$3:$A$13,0),MATCH($A$121,E_budgeted!$B$2:$G$2,0))&gt;0,MIN('Mkuze-Mtamvuna CMA'!D54,E_budgeted!D182),'Mkuze-Mtamvuna CMA'!D54)</f>
        <v>17344926.445833329</v>
      </c>
      <c r="E134" s="13">
        <f>IF(INDEX(E_budgeted!$B$3:$G$13,MATCH($A134,E_budgeted!$A$3:$A$13,0),MATCH($A$121,E_budgeted!$B$2:$G$2,0))&gt;0,MIN('Mkuze-Mtamvuna CMA'!E54,E_budgeted!E182),'Mkuze-Mtamvuna CMA'!E54)</f>
        <v>17344926.445833329</v>
      </c>
      <c r="F134" s="13">
        <f>IF(INDEX(E_budgeted!$B$3:$G$13,MATCH($A134,E_budgeted!$A$3:$A$13,0),MATCH($A$121,E_budgeted!$B$2:$G$2,0))&gt;0,MIN('Mkuze-Mtamvuna CMA'!F54,E_budgeted!F182),'Mkuze-Mtamvuna CMA'!F54)</f>
        <v>17344926.445833329</v>
      </c>
      <c r="G134" s="13">
        <f>IF(INDEX(E_budgeted!$B$3:$G$13,MATCH($A134,E_budgeted!$A$3:$A$13,0),MATCH($A$121,E_budgeted!$B$2:$G$2,0))&gt;0,MIN('Mkuze-Mtamvuna CMA'!G54,E_budgeted!G182),'Mkuze-Mtamvuna CMA'!G54)</f>
        <v>17344926.445833329</v>
      </c>
      <c r="H134" s="13">
        <f>IF(INDEX(E_budgeted!$B$3:$G$13,MATCH($A134,E_budgeted!$A$3:$A$13,0),MATCH($A$121,E_budgeted!$B$2:$G$2,0))&gt;0,MIN('Mkuze-Mtamvuna CMA'!H54,E_budgeted!H182),'Mkuze-Mtamvuna CMA'!H54)</f>
        <v>17344926.445833329</v>
      </c>
      <c r="I134" s="13">
        <f>IF(INDEX(E_budgeted!$B$3:$G$13,MATCH($A134,E_budgeted!$A$3:$A$13,0),MATCH($A$121,E_budgeted!$B$2:$G$2,0))&gt;0,MIN('Mkuze-Mtamvuna CMA'!I54,E_budgeted!I182),'Mkuze-Mtamvuna CMA'!I54)</f>
        <v>17344926.445833329</v>
      </c>
      <c r="J134" s="13">
        <f>IF(INDEX(E_budgeted!$B$3:$G$13,MATCH($A134,E_budgeted!$A$3:$A$13,0),MATCH($A$121,E_budgeted!$B$2:$G$2,0))&gt;0,MIN('Mkuze-Mtamvuna CMA'!J54,E_budgeted!J182),'Mkuze-Mtamvuna CMA'!J54)</f>
        <v>17344926.445833329</v>
      </c>
      <c r="K134" s="13">
        <f>IF(INDEX(E_budgeted!$B$3:$G$13,MATCH($A134,E_budgeted!$A$3:$A$13,0),MATCH($A$121,E_budgeted!$B$2:$G$2,0))&gt;0,MIN('Mkuze-Mtamvuna CMA'!K54,E_budgeted!K182),'Mkuze-Mtamvuna CMA'!K54)</f>
        <v>17344926.445833329</v>
      </c>
      <c r="L134" s="5">
        <f t="shared" si="81"/>
        <v>17344926.445833329</v>
      </c>
    </row>
    <row r="135" spans="1:12" x14ac:dyDescent="0.25">
      <c r="B135" s="5">
        <f t="shared" ref="B135:K135" si="82">SUM(B124:B134)</f>
        <v>86440586.104272187</v>
      </c>
      <c r="C135" s="5">
        <f t="shared" si="82"/>
        <v>86440586.104272187</v>
      </c>
      <c r="D135" s="5">
        <f t="shared" si="82"/>
        <v>86440586.104272187</v>
      </c>
      <c r="E135" s="5">
        <f t="shared" si="82"/>
        <v>86440586.104272187</v>
      </c>
      <c r="F135" s="5">
        <f t="shared" si="82"/>
        <v>86440586.104272187</v>
      </c>
      <c r="G135" s="5">
        <f t="shared" si="82"/>
        <v>86440586.104272187</v>
      </c>
      <c r="H135" s="5">
        <f t="shared" si="82"/>
        <v>86440586.104272187</v>
      </c>
      <c r="I135" s="5">
        <f t="shared" si="82"/>
        <v>86440586.104272187</v>
      </c>
      <c r="J135" s="5">
        <f t="shared" si="82"/>
        <v>86440586.104272187</v>
      </c>
      <c r="K135" s="5">
        <f t="shared" si="82"/>
        <v>86440586.104272187</v>
      </c>
      <c r="L135" s="5"/>
    </row>
    <row r="137" spans="1:12" ht="30" x14ac:dyDescent="0.25">
      <c r="A137" s="15" t="s">
        <v>56</v>
      </c>
      <c r="B137" s="12" t="str">
        <f>'Summary dashboard'!C4</f>
        <v>2023</v>
      </c>
      <c r="C137" s="12">
        <f t="shared" ref="C137" si="83">B137+1</f>
        <v>2024</v>
      </c>
      <c r="D137" s="12">
        <f t="shared" ref="D137" si="84">C137+1</f>
        <v>2025</v>
      </c>
      <c r="E137" s="12">
        <f t="shared" ref="E137" si="85">D137+1</f>
        <v>2026</v>
      </c>
      <c r="F137" s="12">
        <f t="shared" ref="F137" si="86">E137+1</f>
        <v>2027</v>
      </c>
      <c r="G137" s="12">
        <f t="shared" ref="G137" si="87">F137+1</f>
        <v>2028</v>
      </c>
      <c r="H137" s="12">
        <f t="shared" ref="H137" si="88">G137+1</f>
        <v>2029</v>
      </c>
      <c r="I137" s="12">
        <f t="shared" ref="I137" si="89">H137+1</f>
        <v>2030</v>
      </c>
      <c r="J137" s="12">
        <f t="shared" ref="J137" si="90">I137+1</f>
        <v>2031</v>
      </c>
      <c r="K137" s="12">
        <f t="shared" ref="K137" si="91">J137+1</f>
        <v>2032</v>
      </c>
      <c r="L137" s="1" t="s">
        <v>28</v>
      </c>
    </row>
    <row r="138" spans="1:12" x14ac:dyDescent="0.25">
      <c r="A138" s="4" t="s">
        <v>35</v>
      </c>
      <c r="B138" s="32">
        <f>IF(INDEX(E_budgeted!$B$3:$G$13,MATCH($A138,E_budgeted!$A$3:$A$13,0),MATCH($A$121,E_budgeted!$B$2:$G$2,0))&gt;0,MIN('Mkuze-Mtamvuna CMA'!B58,E_budgeted!B186),'Mkuze-Mtamvuna CMA'!B58)</f>
        <v>6641079.7495110808</v>
      </c>
      <c r="C138" s="32">
        <f>IF(INDEX(E_budgeted!$B$3:$G$13,MATCH($A138,E_budgeted!$A$3:$A$13,0),MATCH($A$121,E_budgeted!$B$2:$G$2,0))&gt;0,MIN('Mkuze-Mtamvuna CMA'!C58,E_budgeted!C186),'Mkuze-Mtamvuna CMA'!C58)</f>
        <v>6641079.7495110808</v>
      </c>
      <c r="D138" s="32">
        <f>IF(INDEX(E_budgeted!$B$3:$G$13,MATCH($A138,E_budgeted!$A$3:$A$13,0),MATCH($A$121,E_budgeted!$B$2:$G$2,0))&gt;0,MIN('Mkuze-Mtamvuna CMA'!D58,E_budgeted!D186),'Mkuze-Mtamvuna CMA'!D58)</f>
        <v>6641079.7495110808</v>
      </c>
      <c r="E138" s="32">
        <f>IF(INDEX(E_budgeted!$B$3:$G$13,MATCH($A138,E_budgeted!$A$3:$A$13,0),MATCH($A$121,E_budgeted!$B$2:$G$2,0))&gt;0,MIN('Mkuze-Mtamvuna CMA'!E58,E_budgeted!E186),'Mkuze-Mtamvuna CMA'!E58)</f>
        <v>6641079.7495110808</v>
      </c>
      <c r="F138" s="32">
        <f>IF(INDEX(E_budgeted!$B$3:$G$13,MATCH($A138,E_budgeted!$A$3:$A$13,0),MATCH($A$121,E_budgeted!$B$2:$G$2,0))&gt;0,MIN('Mkuze-Mtamvuna CMA'!F58,E_budgeted!F186),'Mkuze-Mtamvuna CMA'!F58)</f>
        <v>6641079.7495110808</v>
      </c>
      <c r="G138" s="32">
        <f>IF(INDEX(E_budgeted!$B$3:$G$13,MATCH($A138,E_budgeted!$A$3:$A$13,0),MATCH($A$121,E_budgeted!$B$2:$G$2,0))&gt;0,MIN('Mkuze-Mtamvuna CMA'!G58,E_budgeted!G186),'Mkuze-Mtamvuna CMA'!G58)</f>
        <v>6641079.7495110808</v>
      </c>
      <c r="H138" s="32">
        <f>IF(INDEX(E_budgeted!$B$3:$G$13,MATCH($A138,E_budgeted!$A$3:$A$13,0),MATCH($A$121,E_budgeted!$B$2:$G$2,0))&gt;0,MIN('Mkuze-Mtamvuna CMA'!H58,E_budgeted!H186),'Mkuze-Mtamvuna CMA'!H58)</f>
        <v>6641079.7495110808</v>
      </c>
      <c r="I138" s="32">
        <f>IF(INDEX(E_budgeted!$B$3:$G$13,MATCH($A138,E_budgeted!$A$3:$A$13,0),MATCH($A$121,E_budgeted!$B$2:$G$2,0))&gt;0,MIN('Mkuze-Mtamvuna CMA'!I58,E_budgeted!I186),'Mkuze-Mtamvuna CMA'!I58)</f>
        <v>6641079.7495110808</v>
      </c>
      <c r="J138" s="32">
        <f>IF(INDEX(E_budgeted!$B$3:$G$13,MATCH($A138,E_budgeted!$A$3:$A$13,0),MATCH($A$121,E_budgeted!$B$2:$G$2,0))&gt;0,MIN('Mkuze-Mtamvuna CMA'!J58,E_budgeted!J186),'Mkuze-Mtamvuna CMA'!J58)</f>
        <v>6641079.7495110808</v>
      </c>
      <c r="K138" s="32">
        <f>IF(INDEX(E_budgeted!$B$3:$G$13,MATCH($A138,E_budgeted!$A$3:$A$13,0),MATCH($A$121,E_budgeted!$B$2:$G$2,0))&gt;0,MIN('Mkuze-Mtamvuna CMA'!K58,E_budgeted!K186),'Mkuze-Mtamvuna CMA'!K58)</f>
        <v>6641079.7495110808</v>
      </c>
      <c r="L138" s="5">
        <f t="shared" ref="L138:L148" si="92">AVERAGE(B138:K138)</f>
        <v>6641079.7495110799</v>
      </c>
    </row>
    <row r="139" spans="1:12" x14ac:dyDescent="0.25">
      <c r="A139" s="4" t="s">
        <v>36</v>
      </c>
      <c r="B139" s="32">
        <f>IF(INDEX(E_budgeted!$B$3:$G$13,MATCH($A139,E_budgeted!$A$3:$A$13,0),MATCH($A$121,E_budgeted!$B$2:$G$2,0))&gt;0,MIN('Mkuze-Mtamvuna CMA'!B59,E_budgeted!B187),'Mkuze-Mtamvuna CMA'!B59)</f>
        <v>1418388.2291756948</v>
      </c>
      <c r="C139" s="32">
        <f>IF(INDEX(E_budgeted!$B$3:$G$13,MATCH($A139,E_budgeted!$A$3:$A$13,0),MATCH($A$121,E_budgeted!$B$2:$G$2,0))&gt;0,MIN('Mkuze-Mtamvuna CMA'!C59,E_budgeted!C187),'Mkuze-Mtamvuna CMA'!C59)</f>
        <v>1418388.2291756948</v>
      </c>
      <c r="D139" s="32">
        <f>IF(INDEX(E_budgeted!$B$3:$G$13,MATCH($A139,E_budgeted!$A$3:$A$13,0),MATCH($A$121,E_budgeted!$B$2:$G$2,0))&gt;0,MIN('Mkuze-Mtamvuna CMA'!D59,E_budgeted!D187),'Mkuze-Mtamvuna CMA'!D59)</f>
        <v>1418388.2291756948</v>
      </c>
      <c r="E139" s="32">
        <f>IF(INDEX(E_budgeted!$B$3:$G$13,MATCH($A139,E_budgeted!$A$3:$A$13,0),MATCH($A$121,E_budgeted!$B$2:$G$2,0))&gt;0,MIN('Mkuze-Mtamvuna CMA'!E59,E_budgeted!E187),'Mkuze-Mtamvuna CMA'!E59)</f>
        <v>1418388.2291756948</v>
      </c>
      <c r="F139" s="32">
        <f>IF(INDEX(E_budgeted!$B$3:$G$13,MATCH($A139,E_budgeted!$A$3:$A$13,0),MATCH($A$121,E_budgeted!$B$2:$G$2,0))&gt;0,MIN('Mkuze-Mtamvuna CMA'!F59,E_budgeted!F187),'Mkuze-Mtamvuna CMA'!F59)</f>
        <v>1418388.2291756948</v>
      </c>
      <c r="G139" s="32">
        <f>IF(INDEX(E_budgeted!$B$3:$G$13,MATCH($A139,E_budgeted!$A$3:$A$13,0),MATCH($A$121,E_budgeted!$B$2:$G$2,0))&gt;0,MIN('Mkuze-Mtamvuna CMA'!G59,E_budgeted!G187),'Mkuze-Mtamvuna CMA'!G59)</f>
        <v>1418388.2291756948</v>
      </c>
      <c r="H139" s="32">
        <f>IF(INDEX(E_budgeted!$B$3:$G$13,MATCH($A139,E_budgeted!$A$3:$A$13,0),MATCH($A$121,E_budgeted!$B$2:$G$2,0))&gt;0,MIN('Mkuze-Mtamvuna CMA'!H59,E_budgeted!H187),'Mkuze-Mtamvuna CMA'!H59)</f>
        <v>1418388.2291756948</v>
      </c>
      <c r="I139" s="32">
        <f>IF(INDEX(E_budgeted!$B$3:$G$13,MATCH($A139,E_budgeted!$A$3:$A$13,0),MATCH($A$121,E_budgeted!$B$2:$G$2,0))&gt;0,MIN('Mkuze-Mtamvuna CMA'!I59,E_budgeted!I187),'Mkuze-Mtamvuna CMA'!I59)</f>
        <v>1418388.2291756948</v>
      </c>
      <c r="J139" s="32">
        <f>IF(INDEX(E_budgeted!$B$3:$G$13,MATCH($A139,E_budgeted!$A$3:$A$13,0),MATCH($A$121,E_budgeted!$B$2:$G$2,0))&gt;0,MIN('Mkuze-Mtamvuna CMA'!J59,E_budgeted!J187),'Mkuze-Mtamvuna CMA'!J59)</f>
        <v>1418388.2291756948</v>
      </c>
      <c r="K139" s="32">
        <f>IF(INDEX(E_budgeted!$B$3:$G$13,MATCH($A139,E_budgeted!$A$3:$A$13,0),MATCH($A$121,E_budgeted!$B$2:$G$2,0))&gt;0,MIN('Mkuze-Mtamvuna CMA'!K59,E_budgeted!K187),'Mkuze-Mtamvuna CMA'!K59)</f>
        <v>1418388.2291756948</v>
      </c>
      <c r="L139" s="5">
        <f t="shared" si="92"/>
        <v>1418388.2291756945</v>
      </c>
    </row>
    <row r="140" spans="1:12" x14ac:dyDescent="0.25">
      <c r="A140" s="4" t="s">
        <v>11</v>
      </c>
      <c r="B140" s="32">
        <f>IF(INDEX(E_budgeted!$B$3:$G$13,MATCH($A140,E_budgeted!$A$3:$A$13,0),MATCH($A$121,E_budgeted!$B$2:$G$2,0))&gt;0,MIN('Mkuze-Mtamvuna CMA'!B60,E_budgeted!B188),'Mkuze-Mtamvuna CMA'!B60)</f>
        <v>0</v>
      </c>
      <c r="C140" s="32">
        <f>IF(INDEX(E_budgeted!$B$3:$G$13,MATCH($A140,E_budgeted!$A$3:$A$13,0),MATCH($A$121,E_budgeted!$B$2:$G$2,0))&gt;0,MIN('Mkuze-Mtamvuna CMA'!C60,E_budgeted!C188),'Mkuze-Mtamvuna CMA'!C60)</f>
        <v>0</v>
      </c>
      <c r="D140" s="32">
        <f>IF(INDEX(E_budgeted!$B$3:$G$13,MATCH($A140,E_budgeted!$A$3:$A$13,0),MATCH($A$121,E_budgeted!$B$2:$G$2,0))&gt;0,MIN('Mkuze-Mtamvuna CMA'!D60,E_budgeted!D188),'Mkuze-Mtamvuna CMA'!D60)</f>
        <v>0</v>
      </c>
      <c r="E140" s="32">
        <f>IF(INDEX(E_budgeted!$B$3:$G$13,MATCH($A140,E_budgeted!$A$3:$A$13,0),MATCH($A$121,E_budgeted!$B$2:$G$2,0))&gt;0,MIN('Mkuze-Mtamvuna CMA'!E60,E_budgeted!E188),'Mkuze-Mtamvuna CMA'!E60)</f>
        <v>0</v>
      </c>
      <c r="F140" s="32">
        <f>IF(INDEX(E_budgeted!$B$3:$G$13,MATCH($A140,E_budgeted!$A$3:$A$13,0),MATCH($A$121,E_budgeted!$B$2:$G$2,0))&gt;0,MIN('Mkuze-Mtamvuna CMA'!F60,E_budgeted!F188),'Mkuze-Mtamvuna CMA'!F60)</f>
        <v>0</v>
      </c>
      <c r="G140" s="32">
        <f>IF(INDEX(E_budgeted!$B$3:$G$13,MATCH($A140,E_budgeted!$A$3:$A$13,0),MATCH($A$121,E_budgeted!$B$2:$G$2,0))&gt;0,MIN('Mkuze-Mtamvuna CMA'!G60,E_budgeted!G188),'Mkuze-Mtamvuna CMA'!G60)</f>
        <v>0</v>
      </c>
      <c r="H140" s="32">
        <f>IF(INDEX(E_budgeted!$B$3:$G$13,MATCH($A140,E_budgeted!$A$3:$A$13,0),MATCH($A$121,E_budgeted!$B$2:$G$2,0))&gt;0,MIN('Mkuze-Mtamvuna CMA'!H60,E_budgeted!H188),'Mkuze-Mtamvuna CMA'!H60)</f>
        <v>0</v>
      </c>
      <c r="I140" s="32">
        <f>IF(INDEX(E_budgeted!$B$3:$G$13,MATCH($A140,E_budgeted!$A$3:$A$13,0),MATCH($A$121,E_budgeted!$B$2:$G$2,0))&gt;0,MIN('Mkuze-Mtamvuna CMA'!I60,E_budgeted!I188),'Mkuze-Mtamvuna CMA'!I60)</f>
        <v>0</v>
      </c>
      <c r="J140" s="32">
        <f>IF(INDEX(E_budgeted!$B$3:$G$13,MATCH($A140,E_budgeted!$A$3:$A$13,0),MATCH($A$121,E_budgeted!$B$2:$G$2,0))&gt;0,MIN('Mkuze-Mtamvuna CMA'!J60,E_budgeted!J188),'Mkuze-Mtamvuna CMA'!J60)</f>
        <v>0</v>
      </c>
      <c r="K140" s="32">
        <f>IF(INDEX(E_budgeted!$B$3:$G$13,MATCH($A140,E_budgeted!$A$3:$A$13,0),MATCH($A$121,E_budgeted!$B$2:$G$2,0))&gt;0,MIN('Mkuze-Mtamvuna CMA'!K60,E_budgeted!K188),'Mkuze-Mtamvuna CMA'!K60)</f>
        <v>0</v>
      </c>
      <c r="L140" s="5">
        <f t="shared" si="92"/>
        <v>0</v>
      </c>
    </row>
    <row r="141" spans="1:12" x14ac:dyDescent="0.25">
      <c r="A141" s="4" t="s">
        <v>124</v>
      </c>
      <c r="B141" s="32">
        <f>IF(INDEX(E_budgeted!$B$3:$G$13,MATCH($A141,E_budgeted!$A$3:$A$13,0),MATCH($A$121,E_budgeted!$B$2:$G$2,0))&gt;0,MIN('Mkuze-Mtamvuna CMA'!B61,E_budgeted!B189),'Mkuze-Mtamvuna CMA'!B61)</f>
        <v>399999.99999999994</v>
      </c>
      <c r="C141" s="32">
        <f>IF(INDEX(E_budgeted!$B$3:$G$13,MATCH($A141,E_budgeted!$A$3:$A$13,0),MATCH($A$121,E_budgeted!$B$2:$G$2,0))&gt;0,MIN('Mkuze-Mtamvuna CMA'!C61,E_budgeted!C189),'Mkuze-Mtamvuna CMA'!C61)</f>
        <v>399999.99999999994</v>
      </c>
      <c r="D141" s="32">
        <f>IF(INDEX(E_budgeted!$B$3:$G$13,MATCH($A141,E_budgeted!$A$3:$A$13,0),MATCH($A$121,E_budgeted!$B$2:$G$2,0))&gt;0,MIN('Mkuze-Mtamvuna CMA'!D61,E_budgeted!D189),'Mkuze-Mtamvuna CMA'!D61)</f>
        <v>399999.99999999994</v>
      </c>
      <c r="E141" s="32">
        <f>IF(INDEX(E_budgeted!$B$3:$G$13,MATCH($A141,E_budgeted!$A$3:$A$13,0),MATCH($A$121,E_budgeted!$B$2:$G$2,0))&gt;0,MIN('Mkuze-Mtamvuna CMA'!E61,E_budgeted!E189),'Mkuze-Mtamvuna CMA'!E61)</f>
        <v>399999.99999999994</v>
      </c>
      <c r="F141" s="32">
        <f>IF(INDEX(E_budgeted!$B$3:$G$13,MATCH($A141,E_budgeted!$A$3:$A$13,0),MATCH($A$121,E_budgeted!$B$2:$G$2,0))&gt;0,MIN('Mkuze-Mtamvuna CMA'!F61,E_budgeted!F189),'Mkuze-Mtamvuna CMA'!F61)</f>
        <v>399999.99999999994</v>
      </c>
      <c r="G141" s="32">
        <f>IF(INDEX(E_budgeted!$B$3:$G$13,MATCH($A141,E_budgeted!$A$3:$A$13,0),MATCH($A$121,E_budgeted!$B$2:$G$2,0))&gt;0,MIN('Mkuze-Mtamvuna CMA'!G61,E_budgeted!G189),'Mkuze-Mtamvuna CMA'!G61)</f>
        <v>399999.99999999994</v>
      </c>
      <c r="H141" s="32">
        <f>IF(INDEX(E_budgeted!$B$3:$G$13,MATCH($A141,E_budgeted!$A$3:$A$13,0),MATCH($A$121,E_budgeted!$B$2:$G$2,0))&gt;0,MIN('Mkuze-Mtamvuna CMA'!H61,E_budgeted!H189),'Mkuze-Mtamvuna CMA'!H61)</f>
        <v>399999.99999999994</v>
      </c>
      <c r="I141" s="32">
        <f>IF(INDEX(E_budgeted!$B$3:$G$13,MATCH($A141,E_budgeted!$A$3:$A$13,0),MATCH($A$121,E_budgeted!$B$2:$G$2,0))&gt;0,MIN('Mkuze-Mtamvuna CMA'!I61,E_budgeted!I189),'Mkuze-Mtamvuna CMA'!I61)</f>
        <v>399999.99999999994</v>
      </c>
      <c r="J141" s="32">
        <f>IF(INDEX(E_budgeted!$B$3:$G$13,MATCH($A141,E_budgeted!$A$3:$A$13,0),MATCH($A$121,E_budgeted!$B$2:$G$2,0))&gt;0,MIN('Mkuze-Mtamvuna CMA'!J61,E_budgeted!J189),'Mkuze-Mtamvuna CMA'!J61)</f>
        <v>399999.99999999994</v>
      </c>
      <c r="K141" s="32">
        <f>IF(INDEX(E_budgeted!$B$3:$G$13,MATCH($A141,E_budgeted!$A$3:$A$13,0),MATCH($A$121,E_budgeted!$B$2:$G$2,0))&gt;0,MIN('Mkuze-Mtamvuna CMA'!K61,E_budgeted!K189),'Mkuze-Mtamvuna CMA'!K61)</f>
        <v>399999.99999999994</v>
      </c>
      <c r="L141" s="5">
        <f t="shared" si="92"/>
        <v>399999.99999999994</v>
      </c>
    </row>
    <row r="142" spans="1:12" x14ac:dyDescent="0.25">
      <c r="A142" s="4" t="s">
        <v>12</v>
      </c>
      <c r="B142" s="32">
        <f>IF(INDEX(E_budgeted!$B$3:$G$13,MATCH($A142,E_budgeted!$A$3:$A$13,0),MATCH($A$121,E_budgeted!$B$2:$G$2,0))&gt;0,MIN('Mkuze-Mtamvuna CMA'!B62,E_budgeted!B190),'Mkuze-Mtamvuna CMA'!B62)</f>
        <v>2718816.5163215855</v>
      </c>
      <c r="C142" s="32">
        <f>IF(INDEX(E_budgeted!$B$3:$G$13,MATCH($A142,E_budgeted!$A$3:$A$13,0),MATCH($A$121,E_budgeted!$B$2:$G$2,0))&gt;0,MIN('Mkuze-Mtamvuna CMA'!C62,E_budgeted!C190),'Mkuze-Mtamvuna CMA'!C62)</f>
        <v>2718816.5163215855</v>
      </c>
      <c r="D142" s="32">
        <f>IF(INDEX(E_budgeted!$B$3:$G$13,MATCH($A142,E_budgeted!$A$3:$A$13,0),MATCH($A$121,E_budgeted!$B$2:$G$2,0))&gt;0,MIN('Mkuze-Mtamvuna CMA'!D62,E_budgeted!D190),'Mkuze-Mtamvuna CMA'!D62)</f>
        <v>2718816.5163215855</v>
      </c>
      <c r="E142" s="32">
        <f>IF(INDEX(E_budgeted!$B$3:$G$13,MATCH($A142,E_budgeted!$A$3:$A$13,0),MATCH($A$121,E_budgeted!$B$2:$G$2,0))&gt;0,MIN('Mkuze-Mtamvuna CMA'!E62,E_budgeted!E190),'Mkuze-Mtamvuna CMA'!E62)</f>
        <v>2718816.5163215855</v>
      </c>
      <c r="F142" s="32">
        <f>IF(INDEX(E_budgeted!$B$3:$G$13,MATCH($A142,E_budgeted!$A$3:$A$13,0),MATCH($A$121,E_budgeted!$B$2:$G$2,0))&gt;0,MIN('Mkuze-Mtamvuna CMA'!F62,E_budgeted!F190),'Mkuze-Mtamvuna CMA'!F62)</f>
        <v>2718816.5163215855</v>
      </c>
      <c r="G142" s="32">
        <f>IF(INDEX(E_budgeted!$B$3:$G$13,MATCH($A142,E_budgeted!$A$3:$A$13,0),MATCH($A$121,E_budgeted!$B$2:$G$2,0))&gt;0,MIN('Mkuze-Mtamvuna CMA'!G62,E_budgeted!G190),'Mkuze-Mtamvuna CMA'!G62)</f>
        <v>2718816.5163215855</v>
      </c>
      <c r="H142" s="32">
        <f>IF(INDEX(E_budgeted!$B$3:$G$13,MATCH($A142,E_budgeted!$A$3:$A$13,0),MATCH($A$121,E_budgeted!$B$2:$G$2,0))&gt;0,MIN('Mkuze-Mtamvuna CMA'!H62,E_budgeted!H190),'Mkuze-Mtamvuna CMA'!H62)</f>
        <v>2718816.5163215855</v>
      </c>
      <c r="I142" s="32">
        <f>IF(INDEX(E_budgeted!$B$3:$G$13,MATCH($A142,E_budgeted!$A$3:$A$13,0),MATCH($A$121,E_budgeted!$B$2:$G$2,0))&gt;0,MIN('Mkuze-Mtamvuna CMA'!I62,E_budgeted!I190),'Mkuze-Mtamvuna CMA'!I62)</f>
        <v>2718816.5163215855</v>
      </c>
      <c r="J142" s="32">
        <f>IF(INDEX(E_budgeted!$B$3:$G$13,MATCH($A142,E_budgeted!$A$3:$A$13,0),MATCH($A$121,E_budgeted!$B$2:$G$2,0))&gt;0,MIN('Mkuze-Mtamvuna CMA'!J62,E_budgeted!J190),'Mkuze-Mtamvuna CMA'!J62)</f>
        <v>2718816.5163215855</v>
      </c>
      <c r="K142" s="32">
        <f>IF(INDEX(E_budgeted!$B$3:$G$13,MATCH($A142,E_budgeted!$A$3:$A$13,0),MATCH($A$121,E_budgeted!$B$2:$G$2,0))&gt;0,MIN('Mkuze-Mtamvuna CMA'!K62,E_budgeted!K190),'Mkuze-Mtamvuna CMA'!K62)</f>
        <v>2718816.5163215855</v>
      </c>
      <c r="L142" s="5">
        <f t="shared" si="92"/>
        <v>2718816.516321585</v>
      </c>
    </row>
    <row r="143" spans="1:12" x14ac:dyDescent="0.25">
      <c r="A143" s="4" t="s">
        <v>13</v>
      </c>
      <c r="B143" s="32">
        <f>IF(INDEX(E_budgeted!$B$3:$G$13,MATCH($A143,E_budgeted!$A$3:$A$13,0),MATCH($A$121,E_budgeted!$B$2:$G$2,0))&gt;0,MIN('Mkuze-Mtamvuna CMA'!B63,E_budgeted!B191),'Mkuze-Mtamvuna CMA'!B63)</f>
        <v>0</v>
      </c>
      <c r="C143" s="32">
        <f>IF(INDEX(E_budgeted!$B$3:$G$13,MATCH($A143,E_budgeted!$A$3:$A$13,0),MATCH($A$121,E_budgeted!$B$2:$G$2,0))&gt;0,MIN('Mkuze-Mtamvuna CMA'!C63,E_budgeted!C191),'Mkuze-Mtamvuna CMA'!C63)</f>
        <v>0</v>
      </c>
      <c r="D143" s="32">
        <f>IF(INDEX(E_budgeted!$B$3:$G$13,MATCH($A143,E_budgeted!$A$3:$A$13,0),MATCH($A$121,E_budgeted!$B$2:$G$2,0))&gt;0,MIN('Mkuze-Mtamvuna CMA'!D63,E_budgeted!D191),'Mkuze-Mtamvuna CMA'!D63)</f>
        <v>0</v>
      </c>
      <c r="E143" s="32">
        <f>IF(INDEX(E_budgeted!$B$3:$G$13,MATCH($A143,E_budgeted!$A$3:$A$13,0),MATCH($A$121,E_budgeted!$B$2:$G$2,0))&gt;0,MIN('Mkuze-Mtamvuna CMA'!E63,E_budgeted!E191),'Mkuze-Mtamvuna CMA'!E63)</f>
        <v>0</v>
      </c>
      <c r="F143" s="32">
        <f>IF(INDEX(E_budgeted!$B$3:$G$13,MATCH($A143,E_budgeted!$A$3:$A$13,0),MATCH($A$121,E_budgeted!$B$2:$G$2,0))&gt;0,MIN('Mkuze-Mtamvuna CMA'!F63,E_budgeted!F191),'Mkuze-Mtamvuna CMA'!F63)</f>
        <v>0</v>
      </c>
      <c r="G143" s="32">
        <f>IF(INDEX(E_budgeted!$B$3:$G$13,MATCH($A143,E_budgeted!$A$3:$A$13,0),MATCH($A$121,E_budgeted!$B$2:$G$2,0))&gt;0,MIN('Mkuze-Mtamvuna CMA'!G63,E_budgeted!G191),'Mkuze-Mtamvuna CMA'!G63)</f>
        <v>0</v>
      </c>
      <c r="H143" s="32">
        <f>IF(INDEX(E_budgeted!$B$3:$G$13,MATCH($A143,E_budgeted!$A$3:$A$13,0),MATCH($A$121,E_budgeted!$B$2:$G$2,0))&gt;0,MIN('Mkuze-Mtamvuna CMA'!H63,E_budgeted!H191),'Mkuze-Mtamvuna CMA'!H63)</f>
        <v>0</v>
      </c>
      <c r="I143" s="32">
        <f>IF(INDEX(E_budgeted!$B$3:$G$13,MATCH($A143,E_budgeted!$A$3:$A$13,0),MATCH($A$121,E_budgeted!$B$2:$G$2,0))&gt;0,MIN('Mkuze-Mtamvuna CMA'!I63,E_budgeted!I191),'Mkuze-Mtamvuna CMA'!I63)</f>
        <v>0</v>
      </c>
      <c r="J143" s="32">
        <f>IF(INDEX(E_budgeted!$B$3:$G$13,MATCH($A143,E_budgeted!$A$3:$A$13,0),MATCH($A$121,E_budgeted!$B$2:$G$2,0))&gt;0,MIN('Mkuze-Mtamvuna CMA'!J63,E_budgeted!J191),'Mkuze-Mtamvuna CMA'!J63)</f>
        <v>0</v>
      </c>
      <c r="K143" s="32">
        <f>IF(INDEX(E_budgeted!$B$3:$G$13,MATCH($A143,E_budgeted!$A$3:$A$13,0),MATCH($A$121,E_budgeted!$B$2:$G$2,0))&gt;0,MIN('Mkuze-Mtamvuna CMA'!K63,E_budgeted!K191),'Mkuze-Mtamvuna CMA'!K63)</f>
        <v>0</v>
      </c>
      <c r="L143" s="5">
        <f t="shared" si="92"/>
        <v>0</v>
      </c>
    </row>
    <row r="144" spans="1:12" x14ac:dyDescent="0.25">
      <c r="A144" s="4" t="s">
        <v>14</v>
      </c>
      <c r="B144" s="32">
        <f>IF(INDEX(E_budgeted!$B$3:$G$13,MATCH($A144,E_budgeted!$A$3:$A$13,0),MATCH($A$121,E_budgeted!$B$2:$G$2,0))&gt;0,MIN('Mkuze-Mtamvuna CMA'!B64,E_budgeted!B192),'Mkuze-Mtamvuna CMA'!B64)</f>
        <v>0</v>
      </c>
      <c r="C144" s="32">
        <f>IF(INDEX(E_budgeted!$B$3:$G$13,MATCH($A144,E_budgeted!$A$3:$A$13,0),MATCH($A$121,E_budgeted!$B$2:$G$2,0))&gt;0,MIN('Mkuze-Mtamvuna CMA'!C64,E_budgeted!C192),'Mkuze-Mtamvuna CMA'!C64)</f>
        <v>0</v>
      </c>
      <c r="D144" s="32">
        <f>IF(INDEX(E_budgeted!$B$3:$G$13,MATCH($A144,E_budgeted!$A$3:$A$13,0),MATCH($A$121,E_budgeted!$B$2:$G$2,0))&gt;0,MIN('Mkuze-Mtamvuna CMA'!D64,E_budgeted!D192),'Mkuze-Mtamvuna CMA'!D64)</f>
        <v>0</v>
      </c>
      <c r="E144" s="32">
        <f>IF(INDEX(E_budgeted!$B$3:$G$13,MATCH($A144,E_budgeted!$A$3:$A$13,0),MATCH($A$121,E_budgeted!$B$2:$G$2,0))&gt;0,MIN('Mkuze-Mtamvuna CMA'!E64,E_budgeted!E192),'Mkuze-Mtamvuna CMA'!E64)</f>
        <v>0</v>
      </c>
      <c r="F144" s="32">
        <f>IF(INDEX(E_budgeted!$B$3:$G$13,MATCH($A144,E_budgeted!$A$3:$A$13,0),MATCH($A$121,E_budgeted!$B$2:$G$2,0))&gt;0,MIN('Mkuze-Mtamvuna CMA'!F64,E_budgeted!F192),'Mkuze-Mtamvuna CMA'!F64)</f>
        <v>0</v>
      </c>
      <c r="G144" s="32">
        <f>IF(INDEX(E_budgeted!$B$3:$G$13,MATCH($A144,E_budgeted!$A$3:$A$13,0),MATCH($A$121,E_budgeted!$B$2:$G$2,0))&gt;0,MIN('Mkuze-Mtamvuna CMA'!G64,E_budgeted!G192),'Mkuze-Mtamvuna CMA'!G64)</f>
        <v>0</v>
      </c>
      <c r="H144" s="32">
        <f>IF(INDEX(E_budgeted!$B$3:$G$13,MATCH($A144,E_budgeted!$A$3:$A$13,0),MATCH($A$121,E_budgeted!$B$2:$G$2,0))&gt;0,MIN('Mkuze-Mtamvuna CMA'!H64,E_budgeted!H192),'Mkuze-Mtamvuna CMA'!H64)</f>
        <v>0</v>
      </c>
      <c r="I144" s="32">
        <f>IF(INDEX(E_budgeted!$B$3:$G$13,MATCH($A144,E_budgeted!$A$3:$A$13,0),MATCH($A$121,E_budgeted!$B$2:$G$2,0))&gt;0,MIN('Mkuze-Mtamvuna CMA'!I64,E_budgeted!I192),'Mkuze-Mtamvuna CMA'!I64)</f>
        <v>0</v>
      </c>
      <c r="J144" s="32">
        <f>IF(INDEX(E_budgeted!$B$3:$G$13,MATCH($A144,E_budgeted!$A$3:$A$13,0),MATCH($A$121,E_budgeted!$B$2:$G$2,0))&gt;0,MIN('Mkuze-Mtamvuna CMA'!J64,E_budgeted!J192),'Mkuze-Mtamvuna CMA'!J64)</f>
        <v>0</v>
      </c>
      <c r="K144" s="32">
        <f>IF(INDEX(E_budgeted!$B$3:$G$13,MATCH($A144,E_budgeted!$A$3:$A$13,0),MATCH($A$121,E_budgeted!$B$2:$G$2,0))&gt;0,MIN('Mkuze-Mtamvuna CMA'!K64,E_budgeted!K192),'Mkuze-Mtamvuna CMA'!K64)</f>
        <v>0</v>
      </c>
      <c r="L144" s="5">
        <f t="shared" si="92"/>
        <v>0</v>
      </c>
    </row>
    <row r="145" spans="1:12" x14ac:dyDescent="0.25">
      <c r="A145" s="4" t="s">
        <v>125</v>
      </c>
      <c r="B145" s="32">
        <f>IF(INDEX(E_budgeted!$B$3:$G$13,MATCH($A145,E_budgeted!$A$3:$A$13,0),MATCH($A$121,E_budgeted!$B$2:$G$2,0))&gt;0,MIN('Mkuze-Mtamvuna CMA'!B65,E_budgeted!B193),'Mkuze-Mtamvuna CMA'!B65)</f>
        <v>719327.86750019889</v>
      </c>
      <c r="C145" s="32">
        <f>IF(INDEX(E_budgeted!$B$3:$G$13,MATCH($A145,E_budgeted!$A$3:$A$13,0),MATCH($A$121,E_budgeted!$B$2:$G$2,0))&gt;0,MIN('Mkuze-Mtamvuna CMA'!C65,E_budgeted!C193),'Mkuze-Mtamvuna CMA'!C65)</f>
        <v>719327.86750019889</v>
      </c>
      <c r="D145" s="32">
        <f>IF(INDEX(E_budgeted!$B$3:$G$13,MATCH($A145,E_budgeted!$A$3:$A$13,0),MATCH($A$121,E_budgeted!$B$2:$G$2,0))&gt;0,MIN('Mkuze-Mtamvuna CMA'!D65,E_budgeted!D193),'Mkuze-Mtamvuna CMA'!D65)</f>
        <v>719327.86750019889</v>
      </c>
      <c r="E145" s="32">
        <f>IF(INDEX(E_budgeted!$B$3:$G$13,MATCH($A145,E_budgeted!$A$3:$A$13,0),MATCH($A$121,E_budgeted!$B$2:$G$2,0))&gt;0,MIN('Mkuze-Mtamvuna CMA'!E65,E_budgeted!E193),'Mkuze-Mtamvuna CMA'!E65)</f>
        <v>719327.86750019889</v>
      </c>
      <c r="F145" s="32">
        <f>IF(INDEX(E_budgeted!$B$3:$G$13,MATCH($A145,E_budgeted!$A$3:$A$13,0),MATCH($A$121,E_budgeted!$B$2:$G$2,0))&gt;0,MIN('Mkuze-Mtamvuna CMA'!F65,E_budgeted!F193),'Mkuze-Mtamvuna CMA'!F65)</f>
        <v>719327.86750019889</v>
      </c>
      <c r="G145" s="32">
        <f>IF(INDEX(E_budgeted!$B$3:$G$13,MATCH($A145,E_budgeted!$A$3:$A$13,0),MATCH($A$121,E_budgeted!$B$2:$G$2,0))&gt;0,MIN('Mkuze-Mtamvuna CMA'!G65,E_budgeted!G193),'Mkuze-Mtamvuna CMA'!G65)</f>
        <v>719327.86750019889</v>
      </c>
      <c r="H145" s="32">
        <f>IF(INDEX(E_budgeted!$B$3:$G$13,MATCH($A145,E_budgeted!$A$3:$A$13,0),MATCH($A$121,E_budgeted!$B$2:$G$2,0))&gt;0,MIN('Mkuze-Mtamvuna CMA'!H65,E_budgeted!H193),'Mkuze-Mtamvuna CMA'!H65)</f>
        <v>719327.86750019889</v>
      </c>
      <c r="I145" s="32">
        <f>IF(INDEX(E_budgeted!$B$3:$G$13,MATCH($A145,E_budgeted!$A$3:$A$13,0),MATCH($A$121,E_budgeted!$B$2:$G$2,0))&gt;0,MIN('Mkuze-Mtamvuna CMA'!I65,E_budgeted!I193),'Mkuze-Mtamvuna CMA'!I65)</f>
        <v>719327.86750019889</v>
      </c>
      <c r="J145" s="32">
        <f>IF(INDEX(E_budgeted!$B$3:$G$13,MATCH($A145,E_budgeted!$A$3:$A$13,0),MATCH($A$121,E_budgeted!$B$2:$G$2,0))&gt;0,MIN('Mkuze-Mtamvuna CMA'!J65,E_budgeted!J193),'Mkuze-Mtamvuna CMA'!J65)</f>
        <v>719327.86750019889</v>
      </c>
      <c r="K145" s="32">
        <f>IF(INDEX(E_budgeted!$B$3:$G$13,MATCH($A145,E_budgeted!$A$3:$A$13,0),MATCH($A$121,E_budgeted!$B$2:$G$2,0))&gt;0,MIN('Mkuze-Mtamvuna CMA'!K65,E_budgeted!K193),'Mkuze-Mtamvuna CMA'!K65)</f>
        <v>719327.86750019889</v>
      </c>
      <c r="L145" s="5">
        <f t="shared" si="92"/>
        <v>719327.86750019889</v>
      </c>
    </row>
    <row r="146" spans="1:12" x14ac:dyDescent="0.25">
      <c r="A146" s="4" t="s">
        <v>37</v>
      </c>
      <c r="B146" s="32">
        <f>IF(INDEX(E_budgeted!$B$3:$G$13,MATCH($A146,E_budgeted!$A$3:$A$13,0),MATCH($A$121,E_budgeted!$B$2:$G$2,0))&gt;0,MIN('Mkuze-Mtamvuna CMA'!B66,E_budgeted!B194),'Mkuze-Mtamvuna CMA'!B66)</f>
        <v>16477146.347419698</v>
      </c>
      <c r="C146" s="32">
        <f>IF(INDEX(E_budgeted!$B$3:$G$13,MATCH($A146,E_budgeted!$A$3:$A$13,0),MATCH($A$121,E_budgeted!$B$2:$G$2,0))&gt;0,MIN('Mkuze-Mtamvuna CMA'!C66,E_budgeted!C194),'Mkuze-Mtamvuna CMA'!C66)</f>
        <v>16477146.347419698</v>
      </c>
      <c r="D146" s="32">
        <f>IF(INDEX(E_budgeted!$B$3:$G$13,MATCH($A146,E_budgeted!$A$3:$A$13,0),MATCH($A$121,E_budgeted!$B$2:$G$2,0))&gt;0,MIN('Mkuze-Mtamvuna CMA'!D66,E_budgeted!D194),'Mkuze-Mtamvuna CMA'!D66)</f>
        <v>16477146.347419698</v>
      </c>
      <c r="E146" s="32">
        <f>IF(INDEX(E_budgeted!$B$3:$G$13,MATCH($A146,E_budgeted!$A$3:$A$13,0),MATCH($A$121,E_budgeted!$B$2:$G$2,0))&gt;0,MIN('Mkuze-Mtamvuna CMA'!E66,E_budgeted!E194),'Mkuze-Mtamvuna CMA'!E66)</f>
        <v>16477146.347419698</v>
      </c>
      <c r="F146" s="32">
        <f>IF(INDEX(E_budgeted!$B$3:$G$13,MATCH($A146,E_budgeted!$A$3:$A$13,0),MATCH($A$121,E_budgeted!$B$2:$G$2,0))&gt;0,MIN('Mkuze-Mtamvuna CMA'!F66,E_budgeted!F194),'Mkuze-Mtamvuna CMA'!F66)</f>
        <v>16477146.347419698</v>
      </c>
      <c r="G146" s="32">
        <f>IF(INDEX(E_budgeted!$B$3:$G$13,MATCH($A146,E_budgeted!$A$3:$A$13,0),MATCH($A$121,E_budgeted!$B$2:$G$2,0))&gt;0,MIN('Mkuze-Mtamvuna CMA'!G66,E_budgeted!G194),'Mkuze-Mtamvuna CMA'!G66)</f>
        <v>16477146.347419698</v>
      </c>
      <c r="H146" s="32">
        <f>IF(INDEX(E_budgeted!$B$3:$G$13,MATCH($A146,E_budgeted!$A$3:$A$13,0),MATCH($A$121,E_budgeted!$B$2:$G$2,0))&gt;0,MIN('Mkuze-Mtamvuna CMA'!H66,E_budgeted!H194),'Mkuze-Mtamvuna CMA'!H66)</f>
        <v>16477146.347419698</v>
      </c>
      <c r="I146" s="32">
        <f>IF(INDEX(E_budgeted!$B$3:$G$13,MATCH($A146,E_budgeted!$A$3:$A$13,0),MATCH($A$121,E_budgeted!$B$2:$G$2,0))&gt;0,MIN('Mkuze-Mtamvuna CMA'!I66,E_budgeted!I194),'Mkuze-Mtamvuna CMA'!I66)</f>
        <v>16477146.347419698</v>
      </c>
      <c r="J146" s="32">
        <f>IF(INDEX(E_budgeted!$B$3:$G$13,MATCH($A146,E_budgeted!$A$3:$A$13,0),MATCH($A$121,E_budgeted!$B$2:$G$2,0))&gt;0,MIN('Mkuze-Mtamvuna CMA'!J66,E_budgeted!J194),'Mkuze-Mtamvuna CMA'!J66)</f>
        <v>16477146.347419698</v>
      </c>
      <c r="K146" s="32">
        <f>IF(INDEX(E_budgeted!$B$3:$G$13,MATCH($A146,E_budgeted!$A$3:$A$13,0),MATCH($A$121,E_budgeted!$B$2:$G$2,0))&gt;0,MIN('Mkuze-Mtamvuna CMA'!K66,E_budgeted!K194),'Mkuze-Mtamvuna CMA'!K66)</f>
        <v>16477146.347419698</v>
      </c>
      <c r="L146" s="5">
        <f t="shared" si="92"/>
        <v>16477146.347419698</v>
      </c>
    </row>
    <row r="147" spans="1:12" x14ac:dyDescent="0.25">
      <c r="A147" s="4" t="s">
        <v>38</v>
      </c>
      <c r="B147" s="32">
        <f>IF(INDEX(E_budgeted!$B$3:$G$13,MATCH($A147,E_budgeted!$A$3:$A$13,0),MATCH($A$121,E_budgeted!$B$2:$G$2,0))&gt;0,MIN('Mkuze-Mtamvuna CMA'!B67,E_budgeted!B195),'Mkuze-Mtamvuna CMA'!B67)</f>
        <v>100139.44499999999</v>
      </c>
      <c r="C147" s="32">
        <f>IF(INDEX(E_budgeted!$B$3:$G$13,MATCH($A147,E_budgeted!$A$3:$A$13,0),MATCH($A$121,E_budgeted!$B$2:$G$2,0))&gt;0,MIN('Mkuze-Mtamvuna CMA'!C67,E_budgeted!C195),'Mkuze-Mtamvuna CMA'!C67)</f>
        <v>100139.44499999999</v>
      </c>
      <c r="D147" s="32">
        <f>IF(INDEX(E_budgeted!$B$3:$G$13,MATCH($A147,E_budgeted!$A$3:$A$13,0),MATCH($A$121,E_budgeted!$B$2:$G$2,0))&gt;0,MIN('Mkuze-Mtamvuna CMA'!D67,E_budgeted!D195),'Mkuze-Mtamvuna CMA'!D67)</f>
        <v>100139.44499999999</v>
      </c>
      <c r="E147" s="32">
        <f>IF(INDEX(E_budgeted!$B$3:$G$13,MATCH($A147,E_budgeted!$A$3:$A$13,0),MATCH($A$121,E_budgeted!$B$2:$G$2,0))&gt;0,MIN('Mkuze-Mtamvuna CMA'!E67,E_budgeted!E195),'Mkuze-Mtamvuna CMA'!E67)</f>
        <v>100139.44499999999</v>
      </c>
      <c r="F147" s="32">
        <f>IF(INDEX(E_budgeted!$B$3:$G$13,MATCH($A147,E_budgeted!$A$3:$A$13,0),MATCH($A$121,E_budgeted!$B$2:$G$2,0))&gt;0,MIN('Mkuze-Mtamvuna CMA'!F67,E_budgeted!F195),'Mkuze-Mtamvuna CMA'!F67)</f>
        <v>100139.44499999999</v>
      </c>
      <c r="G147" s="32">
        <f>IF(INDEX(E_budgeted!$B$3:$G$13,MATCH($A147,E_budgeted!$A$3:$A$13,0),MATCH($A$121,E_budgeted!$B$2:$G$2,0))&gt;0,MIN('Mkuze-Mtamvuna CMA'!G67,E_budgeted!G195),'Mkuze-Mtamvuna CMA'!G67)</f>
        <v>100139.44499999999</v>
      </c>
      <c r="H147" s="32">
        <f>IF(INDEX(E_budgeted!$B$3:$G$13,MATCH($A147,E_budgeted!$A$3:$A$13,0),MATCH($A$121,E_budgeted!$B$2:$G$2,0))&gt;0,MIN('Mkuze-Mtamvuna CMA'!H67,E_budgeted!H195),'Mkuze-Mtamvuna CMA'!H67)</f>
        <v>100139.44499999999</v>
      </c>
      <c r="I147" s="32">
        <f>IF(INDEX(E_budgeted!$B$3:$G$13,MATCH($A147,E_budgeted!$A$3:$A$13,0),MATCH($A$121,E_budgeted!$B$2:$G$2,0))&gt;0,MIN('Mkuze-Mtamvuna CMA'!I67,E_budgeted!I195),'Mkuze-Mtamvuna CMA'!I67)</f>
        <v>100139.44499999999</v>
      </c>
      <c r="J147" s="32">
        <f>IF(INDEX(E_budgeted!$B$3:$G$13,MATCH($A147,E_budgeted!$A$3:$A$13,0),MATCH($A$121,E_budgeted!$B$2:$G$2,0))&gt;0,MIN('Mkuze-Mtamvuna CMA'!J67,E_budgeted!J195),'Mkuze-Mtamvuna CMA'!J67)</f>
        <v>100139.44499999999</v>
      </c>
      <c r="K147" s="32">
        <f>IF(INDEX(E_budgeted!$B$3:$G$13,MATCH($A147,E_budgeted!$A$3:$A$13,0),MATCH($A$121,E_budgeted!$B$2:$G$2,0))&gt;0,MIN('Mkuze-Mtamvuna CMA'!K67,E_budgeted!K195),'Mkuze-Mtamvuna CMA'!K67)</f>
        <v>100139.44499999999</v>
      </c>
      <c r="L147" s="5">
        <f t="shared" si="92"/>
        <v>100139.44499999998</v>
      </c>
    </row>
    <row r="148" spans="1:12" x14ac:dyDescent="0.25">
      <c r="A148" s="4" t="s">
        <v>15</v>
      </c>
      <c r="B148" s="13">
        <f>IF(INDEX(E_budgeted!$B$3:$G$13,MATCH($A148,E_budgeted!$A$3:$A$13,0),MATCH($A$121,E_budgeted!$B$2:$G$2,0))&gt;0,MIN('Mkuze-Mtamvuna CMA'!B68,E_budgeted!B196),'Mkuze-Mtamvuna CMA'!B68)</f>
        <v>6937970.5783333322</v>
      </c>
      <c r="C148" s="13">
        <f>IF(INDEX(E_budgeted!$B$3:$G$13,MATCH($A148,E_budgeted!$A$3:$A$13,0),MATCH($A$121,E_budgeted!$B$2:$G$2,0))&gt;0,MIN('Mkuze-Mtamvuna CMA'!C68,E_budgeted!C196),'Mkuze-Mtamvuna CMA'!C68)</f>
        <v>6937970.5783333322</v>
      </c>
      <c r="D148" s="13">
        <f>IF(INDEX(E_budgeted!$B$3:$G$13,MATCH($A148,E_budgeted!$A$3:$A$13,0),MATCH($A$121,E_budgeted!$B$2:$G$2,0))&gt;0,MIN('Mkuze-Mtamvuna CMA'!D68,E_budgeted!D196),'Mkuze-Mtamvuna CMA'!D68)</f>
        <v>6937970.5783333322</v>
      </c>
      <c r="E148" s="13">
        <f>IF(INDEX(E_budgeted!$B$3:$G$13,MATCH($A148,E_budgeted!$A$3:$A$13,0),MATCH($A$121,E_budgeted!$B$2:$G$2,0))&gt;0,MIN('Mkuze-Mtamvuna CMA'!E68,E_budgeted!E196),'Mkuze-Mtamvuna CMA'!E68)</f>
        <v>6937970.5783333322</v>
      </c>
      <c r="F148" s="13">
        <f>IF(INDEX(E_budgeted!$B$3:$G$13,MATCH($A148,E_budgeted!$A$3:$A$13,0),MATCH($A$121,E_budgeted!$B$2:$G$2,0))&gt;0,MIN('Mkuze-Mtamvuna CMA'!F68,E_budgeted!F196),'Mkuze-Mtamvuna CMA'!F68)</f>
        <v>6937970.5783333322</v>
      </c>
      <c r="G148" s="13">
        <f>IF(INDEX(E_budgeted!$B$3:$G$13,MATCH($A148,E_budgeted!$A$3:$A$13,0),MATCH($A$121,E_budgeted!$B$2:$G$2,0))&gt;0,MIN('Mkuze-Mtamvuna CMA'!G68,E_budgeted!G196),'Mkuze-Mtamvuna CMA'!G68)</f>
        <v>6937970.5783333322</v>
      </c>
      <c r="H148" s="13">
        <f>IF(INDEX(E_budgeted!$B$3:$G$13,MATCH($A148,E_budgeted!$A$3:$A$13,0),MATCH($A$121,E_budgeted!$B$2:$G$2,0))&gt;0,MIN('Mkuze-Mtamvuna CMA'!H68,E_budgeted!H196),'Mkuze-Mtamvuna CMA'!H68)</f>
        <v>6937970.5783333322</v>
      </c>
      <c r="I148" s="13">
        <f>IF(INDEX(E_budgeted!$B$3:$G$13,MATCH($A148,E_budgeted!$A$3:$A$13,0),MATCH($A$121,E_budgeted!$B$2:$G$2,0))&gt;0,MIN('Mkuze-Mtamvuna CMA'!I68,E_budgeted!I196),'Mkuze-Mtamvuna CMA'!I68)</f>
        <v>6937970.5783333322</v>
      </c>
      <c r="J148" s="13">
        <f>IF(INDEX(E_budgeted!$B$3:$G$13,MATCH($A148,E_budgeted!$A$3:$A$13,0),MATCH($A$121,E_budgeted!$B$2:$G$2,0))&gt;0,MIN('Mkuze-Mtamvuna CMA'!J68,E_budgeted!J196),'Mkuze-Mtamvuna CMA'!J68)</f>
        <v>6937970.5783333322</v>
      </c>
      <c r="K148" s="13">
        <f>IF(INDEX(E_budgeted!$B$3:$G$13,MATCH($A148,E_budgeted!$A$3:$A$13,0),MATCH($A$121,E_budgeted!$B$2:$G$2,0))&gt;0,MIN('Mkuze-Mtamvuna CMA'!K68,E_budgeted!K196),'Mkuze-Mtamvuna CMA'!K68)</f>
        <v>6937970.5783333322</v>
      </c>
      <c r="L148" s="5">
        <f t="shared" si="92"/>
        <v>6937970.5783333313</v>
      </c>
    </row>
    <row r="149" spans="1:12" x14ac:dyDescent="0.25">
      <c r="B149" s="5">
        <f t="shared" ref="B149:K149" si="93">SUM(B138:B148)</f>
        <v>35412868.733261593</v>
      </c>
      <c r="C149" s="5">
        <f t="shared" si="93"/>
        <v>35412868.733261593</v>
      </c>
      <c r="D149" s="5">
        <f t="shared" si="93"/>
        <v>35412868.733261593</v>
      </c>
      <c r="E149" s="5">
        <f t="shared" si="93"/>
        <v>35412868.733261593</v>
      </c>
      <c r="F149" s="5">
        <f t="shared" si="93"/>
        <v>35412868.733261593</v>
      </c>
      <c r="G149" s="5">
        <f t="shared" si="93"/>
        <v>35412868.733261593</v>
      </c>
      <c r="H149" s="5">
        <f t="shared" si="93"/>
        <v>35412868.733261593</v>
      </c>
      <c r="I149" s="5">
        <f t="shared" si="93"/>
        <v>35412868.733261593</v>
      </c>
      <c r="J149" s="5">
        <f t="shared" si="93"/>
        <v>35412868.733261593</v>
      </c>
      <c r="K149" s="5">
        <f t="shared" si="93"/>
        <v>35412868.733261593</v>
      </c>
      <c r="L149" s="5"/>
    </row>
    <row r="150" spans="1:12" x14ac:dyDescent="0.25">
      <c r="B150" s="16">
        <f>B149/$B$135</f>
        <v>0.40967872071741274</v>
      </c>
      <c r="C150" s="5"/>
      <c r="D150" s="5"/>
      <c r="E150" s="5"/>
      <c r="F150" s="5"/>
      <c r="G150" s="5"/>
      <c r="H150" s="5"/>
      <c r="I150" s="5"/>
      <c r="J150" s="5"/>
      <c r="K150" s="5"/>
      <c r="L150" s="5"/>
    </row>
    <row r="152" spans="1:12" ht="30" x14ac:dyDescent="0.25">
      <c r="A152" s="15" t="s">
        <v>57</v>
      </c>
      <c r="B152" s="12" t="str">
        <f>'Summary dashboard'!C4</f>
        <v>2023</v>
      </c>
      <c r="C152" s="12">
        <f t="shared" ref="C152" si="94">B152+1</f>
        <v>2024</v>
      </c>
      <c r="D152" s="12">
        <f t="shared" ref="D152" si="95">C152+1</f>
        <v>2025</v>
      </c>
      <c r="E152" s="12">
        <f t="shared" ref="E152" si="96">D152+1</f>
        <v>2026</v>
      </c>
      <c r="F152" s="12">
        <f t="shared" ref="F152" si="97">E152+1</f>
        <v>2027</v>
      </c>
      <c r="G152" s="12">
        <f t="shared" ref="G152" si="98">F152+1</f>
        <v>2028</v>
      </c>
      <c r="H152" s="12">
        <f t="shared" ref="H152" si="99">G152+1</f>
        <v>2029</v>
      </c>
      <c r="I152" s="12">
        <f t="shared" ref="I152" si="100">H152+1</f>
        <v>2030</v>
      </c>
      <c r="J152" s="12">
        <f t="shared" ref="J152" si="101">I152+1</f>
        <v>2031</v>
      </c>
      <c r="K152" s="12">
        <f t="shared" ref="K152" si="102">J152+1</f>
        <v>2032</v>
      </c>
      <c r="L152" s="1" t="s">
        <v>28</v>
      </c>
    </row>
    <row r="153" spans="1:12" x14ac:dyDescent="0.25">
      <c r="A153" s="4" t="s">
        <v>35</v>
      </c>
      <c r="B153" s="32">
        <f>IF(INDEX(E_budgeted!$B$3:$G$13,MATCH($A153,E_budgeted!$A$3:$A$13,0),MATCH($A$121,E_budgeted!$B$2:$G$2,0))&gt;0,MIN('Mkuze-Mtamvuna CMA'!B73,E_budgeted!B201),'Mkuze-Mtamvuna CMA'!B73)</f>
        <v>4916123.9704172937</v>
      </c>
      <c r="C153" s="32">
        <f>IF(INDEX(E_budgeted!$B$3:$G$13,MATCH($A153,E_budgeted!$A$3:$A$13,0),MATCH($A$121,E_budgeted!$B$2:$G$2,0))&gt;0,MIN('Mkuze-Mtamvuna CMA'!C73,E_budgeted!C201),'Mkuze-Mtamvuna CMA'!C73)</f>
        <v>4916123.9704172937</v>
      </c>
      <c r="D153" s="32">
        <f>IF(INDEX(E_budgeted!$B$3:$G$13,MATCH($A153,E_budgeted!$A$3:$A$13,0),MATCH($A$121,E_budgeted!$B$2:$G$2,0))&gt;0,MIN('Mkuze-Mtamvuna CMA'!D73,E_budgeted!D201),'Mkuze-Mtamvuna CMA'!D73)</f>
        <v>4916123.9704172937</v>
      </c>
      <c r="E153" s="32">
        <f>IF(INDEX(E_budgeted!$B$3:$G$13,MATCH($A153,E_budgeted!$A$3:$A$13,0),MATCH($A$121,E_budgeted!$B$2:$G$2,0))&gt;0,MIN('Mkuze-Mtamvuna CMA'!E73,E_budgeted!E201),'Mkuze-Mtamvuna CMA'!E73)</f>
        <v>4916123.9704172937</v>
      </c>
      <c r="F153" s="32">
        <f>IF(INDEX(E_budgeted!$B$3:$G$13,MATCH($A153,E_budgeted!$A$3:$A$13,0),MATCH($A$121,E_budgeted!$B$2:$G$2,0))&gt;0,MIN('Mkuze-Mtamvuna CMA'!F73,E_budgeted!F201),'Mkuze-Mtamvuna CMA'!F73)</f>
        <v>4916123.9704172937</v>
      </c>
      <c r="G153" s="32">
        <f>IF(INDEX(E_budgeted!$B$3:$G$13,MATCH($A153,E_budgeted!$A$3:$A$13,0),MATCH($A$121,E_budgeted!$B$2:$G$2,0))&gt;0,MIN('Mkuze-Mtamvuna CMA'!G73,E_budgeted!G201),'Mkuze-Mtamvuna CMA'!G73)</f>
        <v>4916123.9704172937</v>
      </c>
      <c r="H153" s="32">
        <f>IF(INDEX(E_budgeted!$B$3:$G$13,MATCH($A153,E_budgeted!$A$3:$A$13,0),MATCH($A$121,E_budgeted!$B$2:$G$2,0))&gt;0,MIN('Mkuze-Mtamvuna CMA'!H73,E_budgeted!H201),'Mkuze-Mtamvuna CMA'!H73)</f>
        <v>4916123.9704172937</v>
      </c>
      <c r="I153" s="32">
        <f>IF(INDEX(E_budgeted!$B$3:$G$13,MATCH($A153,E_budgeted!$A$3:$A$13,0),MATCH($A$121,E_budgeted!$B$2:$G$2,0))&gt;0,MIN('Mkuze-Mtamvuna CMA'!I73,E_budgeted!I201),'Mkuze-Mtamvuna CMA'!I73)</f>
        <v>4916123.9704172937</v>
      </c>
      <c r="J153" s="32">
        <f>IF(INDEX(E_budgeted!$B$3:$G$13,MATCH($A153,E_budgeted!$A$3:$A$13,0),MATCH($A$121,E_budgeted!$B$2:$G$2,0))&gt;0,MIN('Mkuze-Mtamvuna CMA'!J73,E_budgeted!J201),'Mkuze-Mtamvuna CMA'!J73)</f>
        <v>4916123.9704172937</v>
      </c>
      <c r="K153" s="32">
        <f>IF(INDEX(E_budgeted!$B$3:$G$13,MATCH($A153,E_budgeted!$A$3:$A$13,0),MATCH($A$121,E_budgeted!$B$2:$G$2,0))&gt;0,MIN('Mkuze-Mtamvuna CMA'!K73,E_budgeted!K201),'Mkuze-Mtamvuna CMA'!K73)</f>
        <v>4916123.9704172937</v>
      </c>
      <c r="L153" s="5">
        <f>AVERAGE(B153:K153)</f>
        <v>4916123.9704172928</v>
      </c>
    </row>
    <row r="154" spans="1:12" x14ac:dyDescent="0.25">
      <c r="A154" s="4" t="s">
        <v>36</v>
      </c>
      <c r="B154" s="32">
        <f>IF(INDEX(E_budgeted!$B$3:$G$13,MATCH($A154,E_budgeted!$A$3:$A$13,0),MATCH($A$121,E_budgeted!$B$2:$G$2,0))&gt;0,MIN('Mkuze-Mtamvuna CMA'!B74,E_budgeted!B202),'Mkuze-Mtamvuna CMA'!B74)</f>
        <v>472796.07639189821</v>
      </c>
      <c r="C154" s="32">
        <f>IF(INDEX(E_budgeted!$B$3:$G$13,MATCH($A154,E_budgeted!$A$3:$A$13,0),MATCH($A$121,E_budgeted!$B$2:$G$2,0))&gt;0,MIN('Mkuze-Mtamvuna CMA'!C74,E_budgeted!C202),'Mkuze-Mtamvuna CMA'!C74)</f>
        <v>472796.07639189821</v>
      </c>
      <c r="D154" s="32">
        <f>IF(INDEX(E_budgeted!$B$3:$G$13,MATCH($A154,E_budgeted!$A$3:$A$13,0),MATCH($A$121,E_budgeted!$B$2:$G$2,0))&gt;0,MIN('Mkuze-Mtamvuna CMA'!D74,E_budgeted!D202),'Mkuze-Mtamvuna CMA'!D74)</f>
        <v>472796.07639189821</v>
      </c>
      <c r="E154" s="32">
        <f>IF(INDEX(E_budgeted!$B$3:$G$13,MATCH($A154,E_budgeted!$A$3:$A$13,0),MATCH($A$121,E_budgeted!$B$2:$G$2,0))&gt;0,MIN('Mkuze-Mtamvuna CMA'!E74,E_budgeted!E202),'Mkuze-Mtamvuna CMA'!E74)</f>
        <v>472796.07639189821</v>
      </c>
      <c r="F154" s="32">
        <f>IF(INDEX(E_budgeted!$B$3:$G$13,MATCH($A154,E_budgeted!$A$3:$A$13,0),MATCH($A$121,E_budgeted!$B$2:$G$2,0))&gt;0,MIN('Mkuze-Mtamvuna CMA'!F74,E_budgeted!F202),'Mkuze-Mtamvuna CMA'!F74)</f>
        <v>472796.07639189821</v>
      </c>
      <c r="G154" s="32">
        <f>IF(INDEX(E_budgeted!$B$3:$G$13,MATCH($A154,E_budgeted!$A$3:$A$13,0),MATCH($A$121,E_budgeted!$B$2:$G$2,0))&gt;0,MIN('Mkuze-Mtamvuna CMA'!G74,E_budgeted!G202),'Mkuze-Mtamvuna CMA'!G74)</f>
        <v>472796.07639189821</v>
      </c>
      <c r="H154" s="32">
        <f>IF(INDEX(E_budgeted!$B$3:$G$13,MATCH($A154,E_budgeted!$A$3:$A$13,0),MATCH($A$121,E_budgeted!$B$2:$G$2,0))&gt;0,MIN('Mkuze-Mtamvuna CMA'!H74,E_budgeted!H202),'Mkuze-Mtamvuna CMA'!H74)</f>
        <v>472796.07639189821</v>
      </c>
      <c r="I154" s="32">
        <f>IF(INDEX(E_budgeted!$B$3:$G$13,MATCH($A154,E_budgeted!$A$3:$A$13,0),MATCH($A$121,E_budgeted!$B$2:$G$2,0))&gt;0,MIN('Mkuze-Mtamvuna CMA'!I74,E_budgeted!I202),'Mkuze-Mtamvuna CMA'!I74)</f>
        <v>472796.07639189821</v>
      </c>
      <c r="J154" s="32">
        <f>IF(INDEX(E_budgeted!$B$3:$G$13,MATCH($A154,E_budgeted!$A$3:$A$13,0),MATCH($A$121,E_budgeted!$B$2:$G$2,0))&gt;0,MIN('Mkuze-Mtamvuna CMA'!J74,E_budgeted!J202),'Mkuze-Mtamvuna CMA'!J74)</f>
        <v>472796.07639189821</v>
      </c>
      <c r="K154" s="32">
        <f>IF(INDEX(E_budgeted!$B$3:$G$13,MATCH($A154,E_budgeted!$A$3:$A$13,0),MATCH($A$121,E_budgeted!$B$2:$G$2,0))&gt;0,MIN('Mkuze-Mtamvuna CMA'!K74,E_budgeted!K202),'Mkuze-Mtamvuna CMA'!K74)</f>
        <v>472796.07639189821</v>
      </c>
      <c r="L154" s="5">
        <f t="shared" ref="L154:L163" si="103">AVERAGE(B154:K154)</f>
        <v>472796.07639189821</v>
      </c>
    </row>
    <row r="155" spans="1:12" x14ac:dyDescent="0.25">
      <c r="A155" s="4" t="s">
        <v>11</v>
      </c>
      <c r="B155" s="32">
        <f>IF(INDEX(E_budgeted!$B$3:$G$13,MATCH($A155,E_budgeted!$A$3:$A$13,0),MATCH($A$121,E_budgeted!$B$2:$G$2,0))&gt;0,MIN('Mkuze-Mtamvuna CMA'!B75,E_budgeted!B203),'Mkuze-Mtamvuna CMA'!B75)</f>
        <v>0</v>
      </c>
      <c r="C155" s="32">
        <f>IF(INDEX(E_budgeted!$B$3:$G$13,MATCH($A155,E_budgeted!$A$3:$A$13,0),MATCH($A$121,E_budgeted!$B$2:$G$2,0))&gt;0,MIN('Mkuze-Mtamvuna CMA'!C75,E_budgeted!C203),'Mkuze-Mtamvuna CMA'!C75)</f>
        <v>0</v>
      </c>
      <c r="D155" s="32">
        <f>IF(INDEX(E_budgeted!$B$3:$G$13,MATCH($A155,E_budgeted!$A$3:$A$13,0),MATCH($A$121,E_budgeted!$B$2:$G$2,0))&gt;0,MIN('Mkuze-Mtamvuna CMA'!D75,E_budgeted!D203),'Mkuze-Mtamvuna CMA'!D75)</f>
        <v>0</v>
      </c>
      <c r="E155" s="32">
        <f>IF(INDEX(E_budgeted!$B$3:$G$13,MATCH($A155,E_budgeted!$A$3:$A$13,0),MATCH($A$121,E_budgeted!$B$2:$G$2,0))&gt;0,MIN('Mkuze-Mtamvuna CMA'!E75,E_budgeted!E203),'Mkuze-Mtamvuna CMA'!E75)</f>
        <v>0</v>
      </c>
      <c r="F155" s="32">
        <f>IF(INDEX(E_budgeted!$B$3:$G$13,MATCH($A155,E_budgeted!$A$3:$A$13,0),MATCH($A$121,E_budgeted!$B$2:$G$2,0))&gt;0,MIN('Mkuze-Mtamvuna CMA'!F75,E_budgeted!F203),'Mkuze-Mtamvuna CMA'!F75)</f>
        <v>0</v>
      </c>
      <c r="G155" s="32">
        <f>IF(INDEX(E_budgeted!$B$3:$G$13,MATCH($A155,E_budgeted!$A$3:$A$13,0),MATCH($A$121,E_budgeted!$B$2:$G$2,0))&gt;0,MIN('Mkuze-Mtamvuna CMA'!G75,E_budgeted!G203),'Mkuze-Mtamvuna CMA'!G75)</f>
        <v>0</v>
      </c>
      <c r="H155" s="32">
        <f>IF(INDEX(E_budgeted!$B$3:$G$13,MATCH($A155,E_budgeted!$A$3:$A$13,0),MATCH($A$121,E_budgeted!$B$2:$G$2,0))&gt;0,MIN('Mkuze-Mtamvuna CMA'!H75,E_budgeted!H203),'Mkuze-Mtamvuna CMA'!H75)</f>
        <v>0</v>
      </c>
      <c r="I155" s="32">
        <f>IF(INDEX(E_budgeted!$B$3:$G$13,MATCH($A155,E_budgeted!$A$3:$A$13,0),MATCH($A$121,E_budgeted!$B$2:$G$2,0))&gt;0,MIN('Mkuze-Mtamvuna CMA'!I75,E_budgeted!I203),'Mkuze-Mtamvuna CMA'!I75)</f>
        <v>0</v>
      </c>
      <c r="J155" s="32">
        <f>IF(INDEX(E_budgeted!$B$3:$G$13,MATCH($A155,E_budgeted!$A$3:$A$13,0),MATCH($A$121,E_budgeted!$B$2:$G$2,0))&gt;0,MIN('Mkuze-Mtamvuna CMA'!J75,E_budgeted!J203),'Mkuze-Mtamvuna CMA'!J75)</f>
        <v>0</v>
      </c>
      <c r="K155" s="32">
        <f>IF(INDEX(E_budgeted!$B$3:$G$13,MATCH($A155,E_budgeted!$A$3:$A$13,0),MATCH($A$121,E_budgeted!$B$2:$G$2,0))&gt;0,MIN('Mkuze-Mtamvuna CMA'!K75,E_budgeted!K203),'Mkuze-Mtamvuna CMA'!K75)</f>
        <v>0</v>
      </c>
      <c r="L155" s="5">
        <f t="shared" si="103"/>
        <v>0</v>
      </c>
    </row>
    <row r="156" spans="1:12" x14ac:dyDescent="0.25">
      <c r="A156" s="4" t="s">
        <v>124</v>
      </c>
      <c r="B156" s="32">
        <f>IF(INDEX(E_budgeted!$B$3:$G$13,MATCH($A156,E_budgeted!$A$3:$A$13,0),MATCH($A$121,E_budgeted!$B$2:$G$2,0))&gt;0,MIN('Mkuze-Mtamvuna CMA'!B76,E_budgeted!B204),'Mkuze-Mtamvuna CMA'!B76)</f>
        <v>300000</v>
      </c>
      <c r="C156" s="32">
        <f>IF(INDEX(E_budgeted!$B$3:$G$13,MATCH($A156,E_budgeted!$A$3:$A$13,0),MATCH($A$121,E_budgeted!$B$2:$G$2,0))&gt;0,MIN('Mkuze-Mtamvuna CMA'!C76,E_budgeted!C204),'Mkuze-Mtamvuna CMA'!C76)</f>
        <v>300000</v>
      </c>
      <c r="D156" s="32">
        <f>IF(INDEX(E_budgeted!$B$3:$G$13,MATCH($A156,E_budgeted!$A$3:$A$13,0),MATCH($A$121,E_budgeted!$B$2:$G$2,0))&gt;0,MIN('Mkuze-Mtamvuna CMA'!D76,E_budgeted!D204),'Mkuze-Mtamvuna CMA'!D76)</f>
        <v>300000</v>
      </c>
      <c r="E156" s="32">
        <f>IF(INDEX(E_budgeted!$B$3:$G$13,MATCH($A156,E_budgeted!$A$3:$A$13,0),MATCH($A$121,E_budgeted!$B$2:$G$2,0))&gt;0,MIN('Mkuze-Mtamvuna CMA'!E76,E_budgeted!E204),'Mkuze-Mtamvuna CMA'!E76)</f>
        <v>300000</v>
      </c>
      <c r="F156" s="32">
        <f>IF(INDEX(E_budgeted!$B$3:$G$13,MATCH($A156,E_budgeted!$A$3:$A$13,0),MATCH($A$121,E_budgeted!$B$2:$G$2,0))&gt;0,MIN('Mkuze-Mtamvuna CMA'!F76,E_budgeted!F204),'Mkuze-Mtamvuna CMA'!F76)</f>
        <v>300000</v>
      </c>
      <c r="G156" s="32">
        <f>IF(INDEX(E_budgeted!$B$3:$G$13,MATCH($A156,E_budgeted!$A$3:$A$13,0),MATCH($A$121,E_budgeted!$B$2:$G$2,0))&gt;0,MIN('Mkuze-Mtamvuna CMA'!G76,E_budgeted!G204),'Mkuze-Mtamvuna CMA'!G76)</f>
        <v>300000</v>
      </c>
      <c r="H156" s="32">
        <f>IF(INDEX(E_budgeted!$B$3:$G$13,MATCH($A156,E_budgeted!$A$3:$A$13,0),MATCH($A$121,E_budgeted!$B$2:$G$2,0))&gt;0,MIN('Mkuze-Mtamvuna CMA'!H76,E_budgeted!H204),'Mkuze-Mtamvuna CMA'!H76)</f>
        <v>300000</v>
      </c>
      <c r="I156" s="32">
        <f>IF(INDEX(E_budgeted!$B$3:$G$13,MATCH($A156,E_budgeted!$A$3:$A$13,0),MATCH($A$121,E_budgeted!$B$2:$G$2,0))&gt;0,MIN('Mkuze-Mtamvuna CMA'!I76,E_budgeted!I204),'Mkuze-Mtamvuna CMA'!I76)</f>
        <v>300000</v>
      </c>
      <c r="J156" s="32">
        <f>IF(INDEX(E_budgeted!$B$3:$G$13,MATCH($A156,E_budgeted!$A$3:$A$13,0),MATCH($A$121,E_budgeted!$B$2:$G$2,0))&gt;0,MIN('Mkuze-Mtamvuna CMA'!J76,E_budgeted!J204),'Mkuze-Mtamvuna CMA'!J76)</f>
        <v>300000</v>
      </c>
      <c r="K156" s="32">
        <f>IF(INDEX(E_budgeted!$B$3:$G$13,MATCH($A156,E_budgeted!$A$3:$A$13,0),MATCH($A$121,E_budgeted!$B$2:$G$2,0))&gt;0,MIN('Mkuze-Mtamvuna CMA'!K76,E_budgeted!K204),'Mkuze-Mtamvuna CMA'!K76)</f>
        <v>300000</v>
      </c>
      <c r="L156" s="5">
        <f t="shared" si="103"/>
        <v>300000</v>
      </c>
    </row>
    <row r="157" spans="1:12" x14ac:dyDescent="0.25">
      <c r="A157" s="4" t="s">
        <v>12</v>
      </c>
      <c r="B157" s="32">
        <f>IF(INDEX(E_budgeted!$B$3:$G$13,MATCH($A157,E_budgeted!$A$3:$A$13,0),MATCH($A$121,E_budgeted!$B$2:$G$2,0))&gt;0,MIN('Mkuze-Mtamvuna CMA'!B77,E_budgeted!B205),'Mkuze-Mtamvuna CMA'!B77)</f>
        <v>0</v>
      </c>
      <c r="C157" s="32">
        <f>IF(INDEX(E_budgeted!$B$3:$G$13,MATCH($A157,E_budgeted!$A$3:$A$13,0),MATCH($A$121,E_budgeted!$B$2:$G$2,0))&gt;0,MIN('Mkuze-Mtamvuna CMA'!C77,E_budgeted!C205),'Mkuze-Mtamvuna CMA'!C77)</f>
        <v>0</v>
      </c>
      <c r="D157" s="32">
        <f>IF(INDEX(E_budgeted!$B$3:$G$13,MATCH($A157,E_budgeted!$A$3:$A$13,0),MATCH($A$121,E_budgeted!$B$2:$G$2,0))&gt;0,MIN('Mkuze-Mtamvuna CMA'!D77,E_budgeted!D205),'Mkuze-Mtamvuna CMA'!D77)</f>
        <v>0</v>
      </c>
      <c r="E157" s="32">
        <f>IF(INDEX(E_budgeted!$B$3:$G$13,MATCH($A157,E_budgeted!$A$3:$A$13,0),MATCH($A$121,E_budgeted!$B$2:$G$2,0))&gt;0,MIN('Mkuze-Mtamvuna CMA'!E77,E_budgeted!E205),'Mkuze-Mtamvuna CMA'!E77)</f>
        <v>0</v>
      </c>
      <c r="F157" s="32">
        <f>IF(INDEX(E_budgeted!$B$3:$G$13,MATCH($A157,E_budgeted!$A$3:$A$13,0),MATCH($A$121,E_budgeted!$B$2:$G$2,0))&gt;0,MIN('Mkuze-Mtamvuna CMA'!F77,E_budgeted!F205),'Mkuze-Mtamvuna CMA'!F77)</f>
        <v>0</v>
      </c>
      <c r="G157" s="32">
        <f>IF(INDEX(E_budgeted!$B$3:$G$13,MATCH($A157,E_budgeted!$A$3:$A$13,0),MATCH($A$121,E_budgeted!$B$2:$G$2,0))&gt;0,MIN('Mkuze-Mtamvuna CMA'!G77,E_budgeted!G205),'Mkuze-Mtamvuna CMA'!G77)</f>
        <v>0</v>
      </c>
      <c r="H157" s="32">
        <f>IF(INDEX(E_budgeted!$B$3:$G$13,MATCH($A157,E_budgeted!$A$3:$A$13,0),MATCH($A$121,E_budgeted!$B$2:$G$2,0))&gt;0,MIN('Mkuze-Mtamvuna CMA'!H77,E_budgeted!H205),'Mkuze-Mtamvuna CMA'!H77)</f>
        <v>0</v>
      </c>
      <c r="I157" s="32">
        <f>IF(INDEX(E_budgeted!$B$3:$G$13,MATCH($A157,E_budgeted!$A$3:$A$13,0),MATCH($A$121,E_budgeted!$B$2:$G$2,0))&gt;0,MIN('Mkuze-Mtamvuna CMA'!I77,E_budgeted!I205),'Mkuze-Mtamvuna CMA'!I77)</f>
        <v>0</v>
      </c>
      <c r="J157" s="32">
        <f>IF(INDEX(E_budgeted!$B$3:$G$13,MATCH($A157,E_budgeted!$A$3:$A$13,0),MATCH($A$121,E_budgeted!$B$2:$G$2,0))&gt;0,MIN('Mkuze-Mtamvuna CMA'!J77,E_budgeted!J205),'Mkuze-Mtamvuna CMA'!J77)</f>
        <v>0</v>
      </c>
      <c r="K157" s="32">
        <f>IF(INDEX(E_budgeted!$B$3:$G$13,MATCH($A157,E_budgeted!$A$3:$A$13,0),MATCH($A$121,E_budgeted!$B$2:$G$2,0))&gt;0,MIN('Mkuze-Mtamvuna CMA'!K77,E_budgeted!K205),'Mkuze-Mtamvuna CMA'!K77)</f>
        <v>0</v>
      </c>
      <c r="L157" s="5">
        <f t="shared" si="103"/>
        <v>0</v>
      </c>
    </row>
    <row r="158" spans="1:12" x14ac:dyDescent="0.25">
      <c r="A158" s="4" t="s">
        <v>13</v>
      </c>
      <c r="B158" s="32">
        <f>IF(INDEX(E_budgeted!$B$3:$G$13,MATCH($A158,E_budgeted!$A$3:$A$13,0),MATCH($A$121,E_budgeted!$B$2:$G$2,0))&gt;0,MIN('Mkuze-Mtamvuna CMA'!B78,E_budgeted!B206),'Mkuze-Mtamvuna CMA'!B78)</f>
        <v>0</v>
      </c>
      <c r="C158" s="32">
        <f>IF(INDEX(E_budgeted!$B$3:$G$13,MATCH($A158,E_budgeted!$A$3:$A$13,0),MATCH($A$121,E_budgeted!$B$2:$G$2,0))&gt;0,MIN('Mkuze-Mtamvuna CMA'!C78,E_budgeted!C206),'Mkuze-Mtamvuna CMA'!C78)</f>
        <v>0</v>
      </c>
      <c r="D158" s="32">
        <f>IF(INDEX(E_budgeted!$B$3:$G$13,MATCH($A158,E_budgeted!$A$3:$A$13,0),MATCH($A$121,E_budgeted!$B$2:$G$2,0))&gt;0,MIN('Mkuze-Mtamvuna CMA'!D78,E_budgeted!D206),'Mkuze-Mtamvuna CMA'!D78)</f>
        <v>0</v>
      </c>
      <c r="E158" s="32">
        <f>IF(INDEX(E_budgeted!$B$3:$G$13,MATCH($A158,E_budgeted!$A$3:$A$13,0),MATCH($A$121,E_budgeted!$B$2:$G$2,0))&gt;0,MIN('Mkuze-Mtamvuna CMA'!E78,E_budgeted!E206),'Mkuze-Mtamvuna CMA'!E78)</f>
        <v>0</v>
      </c>
      <c r="F158" s="32">
        <f>IF(INDEX(E_budgeted!$B$3:$G$13,MATCH($A158,E_budgeted!$A$3:$A$13,0),MATCH($A$121,E_budgeted!$B$2:$G$2,0))&gt;0,MIN('Mkuze-Mtamvuna CMA'!F78,E_budgeted!F206),'Mkuze-Mtamvuna CMA'!F78)</f>
        <v>0</v>
      </c>
      <c r="G158" s="32">
        <f>IF(INDEX(E_budgeted!$B$3:$G$13,MATCH($A158,E_budgeted!$A$3:$A$13,0),MATCH($A$121,E_budgeted!$B$2:$G$2,0))&gt;0,MIN('Mkuze-Mtamvuna CMA'!G78,E_budgeted!G206),'Mkuze-Mtamvuna CMA'!G78)</f>
        <v>0</v>
      </c>
      <c r="H158" s="32">
        <f>IF(INDEX(E_budgeted!$B$3:$G$13,MATCH($A158,E_budgeted!$A$3:$A$13,0),MATCH($A$121,E_budgeted!$B$2:$G$2,0))&gt;0,MIN('Mkuze-Mtamvuna CMA'!H78,E_budgeted!H206),'Mkuze-Mtamvuna CMA'!H78)</f>
        <v>0</v>
      </c>
      <c r="I158" s="32">
        <f>IF(INDEX(E_budgeted!$B$3:$G$13,MATCH($A158,E_budgeted!$A$3:$A$13,0),MATCH($A$121,E_budgeted!$B$2:$G$2,0))&gt;0,MIN('Mkuze-Mtamvuna CMA'!I78,E_budgeted!I206),'Mkuze-Mtamvuna CMA'!I78)</f>
        <v>0</v>
      </c>
      <c r="J158" s="32">
        <f>IF(INDEX(E_budgeted!$B$3:$G$13,MATCH($A158,E_budgeted!$A$3:$A$13,0),MATCH($A$121,E_budgeted!$B$2:$G$2,0))&gt;0,MIN('Mkuze-Mtamvuna CMA'!J78,E_budgeted!J206),'Mkuze-Mtamvuna CMA'!J78)</f>
        <v>0</v>
      </c>
      <c r="K158" s="32">
        <f>IF(INDEX(E_budgeted!$B$3:$G$13,MATCH($A158,E_budgeted!$A$3:$A$13,0),MATCH($A$121,E_budgeted!$B$2:$G$2,0))&gt;0,MIN('Mkuze-Mtamvuna CMA'!K78,E_budgeted!K206),'Mkuze-Mtamvuna CMA'!K78)</f>
        <v>0</v>
      </c>
      <c r="L158" s="5">
        <f t="shared" si="103"/>
        <v>0</v>
      </c>
    </row>
    <row r="159" spans="1:12" x14ac:dyDescent="0.25">
      <c r="A159" s="4" t="s">
        <v>14</v>
      </c>
      <c r="B159" s="32">
        <f>IF(INDEX(E_budgeted!$B$3:$G$13,MATCH($A159,E_budgeted!$A$3:$A$13,0),MATCH($A$121,E_budgeted!$B$2:$G$2,0))&gt;0,MIN('Mkuze-Mtamvuna CMA'!B79,E_budgeted!B207),'Mkuze-Mtamvuna CMA'!B79)</f>
        <v>0</v>
      </c>
      <c r="C159" s="32">
        <f>IF(INDEX(E_budgeted!$B$3:$G$13,MATCH($A159,E_budgeted!$A$3:$A$13,0),MATCH($A$121,E_budgeted!$B$2:$G$2,0))&gt;0,MIN('Mkuze-Mtamvuna CMA'!C79,E_budgeted!C207),'Mkuze-Mtamvuna CMA'!C79)</f>
        <v>0</v>
      </c>
      <c r="D159" s="32">
        <f>IF(INDEX(E_budgeted!$B$3:$G$13,MATCH($A159,E_budgeted!$A$3:$A$13,0),MATCH($A$121,E_budgeted!$B$2:$G$2,0))&gt;0,MIN('Mkuze-Mtamvuna CMA'!D79,E_budgeted!D207),'Mkuze-Mtamvuna CMA'!D79)</f>
        <v>0</v>
      </c>
      <c r="E159" s="32">
        <f>IF(INDEX(E_budgeted!$B$3:$G$13,MATCH($A159,E_budgeted!$A$3:$A$13,0),MATCH($A$121,E_budgeted!$B$2:$G$2,0))&gt;0,MIN('Mkuze-Mtamvuna CMA'!E79,E_budgeted!E207),'Mkuze-Mtamvuna CMA'!E79)</f>
        <v>0</v>
      </c>
      <c r="F159" s="32">
        <f>IF(INDEX(E_budgeted!$B$3:$G$13,MATCH($A159,E_budgeted!$A$3:$A$13,0),MATCH($A$121,E_budgeted!$B$2:$G$2,0))&gt;0,MIN('Mkuze-Mtamvuna CMA'!F79,E_budgeted!F207),'Mkuze-Mtamvuna CMA'!F79)</f>
        <v>0</v>
      </c>
      <c r="G159" s="32">
        <f>IF(INDEX(E_budgeted!$B$3:$G$13,MATCH($A159,E_budgeted!$A$3:$A$13,0),MATCH($A$121,E_budgeted!$B$2:$G$2,0))&gt;0,MIN('Mkuze-Mtamvuna CMA'!G79,E_budgeted!G207),'Mkuze-Mtamvuna CMA'!G79)</f>
        <v>0</v>
      </c>
      <c r="H159" s="32">
        <f>IF(INDEX(E_budgeted!$B$3:$G$13,MATCH($A159,E_budgeted!$A$3:$A$13,0),MATCH($A$121,E_budgeted!$B$2:$G$2,0))&gt;0,MIN('Mkuze-Mtamvuna CMA'!H79,E_budgeted!H207),'Mkuze-Mtamvuna CMA'!H79)</f>
        <v>0</v>
      </c>
      <c r="I159" s="32">
        <f>IF(INDEX(E_budgeted!$B$3:$G$13,MATCH($A159,E_budgeted!$A$3:$A$13,0),MATCH($A$121,E_budgeted!$B$2:$G$2,0))&gt;0,MIN('Mkuze-Mtamvuna CMA'!I79,E_budgeted!I207),'Mkuze-Mtamvuna CMA'!I79)</f>
        <v>0</v>
      </c>
      <c r="J159" s="32">
        <f>IF(INDEX(E_budgeted!$B$3:$G$13,MATCH($A159,E_budgeted!$A$3:$A$13,0),MATCH($A$121,E_budgeted!$B$2:$G$2,0))&gt;0,MIN('Mkuze-Mtamvuna CMA'!J79,E_budgeted!J207),'Mkuze-Mtamvuna CMA'!J79)</f>
        <v>0</v>
      </c>
      <c r="K159" s="32">
        <f>IF(INDEX(E_budgeted!$B$3:$G$13,MATCH($A159,E_budgeted!$A$3:$A$13,0),MATCH($A$121,E_budgeted!$B$2:$G$2,0))&gt;0,MIN('Mkuze-Mtamvuna CMA'!K79,E_budgeted!K207),'Mkuze-Mtamvuna CMA'!K79)</f>
        <v>0</v>
      </c>
      <c r="L159" s="5">
        <f t="shared" si="103"/>
        <v>0</v>
      </c>
    </row>
    <row r="160" spans="1:12" x14ac:dyDescent="0.25">
      <c r="A160" s="4" t="s">
        <v>125</v>
      </c>
      <c r="B160" s="32">
        <f>IF(INDEX(E_budgeted!$B$3:$G$13,MATCH($A160,E_budgeted!$A$3:$A$13,0),MATCH($A$121,E_budgeted!$B$2:$G$2,0))&gt;0,MIN('Mkuze-Mtamvuna CMA'!B80,E_budgeted!B208),'Mkuze-Mtamvuna CMA'!B80)</f>
        <v>539495.90062514914</v>
      </c>
      <c r="C160" s="32">
        <f>IF(INDEX(E_budgeted!$B$3:$G$13,MATCH($A160,E_budgeted!$A$3:$A$13,0),MATCH($A$121,E_budgeted!$B$2:$G$2,0))&gt;0,MIN('Mkuze-Mtamvuna CMA'!C80,E_budgeted!C208),'Mkuze-Mtamvuna CMA'!C80)</f>
        <v>539495.90062514914</v>
      </c>
      <c r="D160" s="32">
        <f>IF(INDEX(E_budgeted!$B$3:$G$13,MATCH($A160,E_budgeted!$A$3:$A$13,0),MATCH($A$121,E_budgeted!$B$2:$G$2,0))&gt;0,MIN('Mkuze-Mtamvuna CMA'!D80,E_budgeted!D208),'Mkuze-Mtamvuna CMA'!D80)</f>
        <v>539495.90062514914</v>
      </c>
      <c r="E160" s="32">
        <f>IF(INDEX(E_budgeted!$B$3:$G$13,MATCH($A160,E_budgeted!$A$3:$A$13,0),MATCH($A$121,E_budgeted!$B$2:$G$2,0))&gt;0,MIN('Mkuze-Mtamvuna CMA'!E80,E_budgeted!E208),'Mkuze-Mtamvuna CMA'!E80)</f>
        <v>539495.90062514914</v>
      </c>
      <c r="F160" s="32">
        <f>IF(INDEX(E_budgeted!$B$3:$G$13,MATCH($A160,E_budgeted!$A$3:$A$13,0),MATCH($A$121,E_budgeted!$B$2:$G$2,0))&gt;0,MIN('Mkuze-Mtamvuna CMA'!F80,E_budgeted!F208),'Mkuze-Mtamvuna CMA'!F80)</f>
        <v>539495.90062514914</v>
      </c>
      <c r="G160" s="32">
        <f>IF(INDEX(E_budgeted!$B$3:$G$13,MATCH($A160,E_budgeted!$A$3:$A$13,0),MATCH($A$121,E_budgeted!$B$2:$G$2,0))&gt;0,MIN('Mkuze-Mtamvuna CMA'!G80,E_budgeted!G208),'Mkuze-Mtamvuna CMA'!G80)</f>
        <v>539495.90062514914</v>
      </c>
      <c r="H160" s="32">
        <f>IF(INDEX(E_budgeted!$B$3:$G$13,MATCH($A160,E_budgeted!$A$3:$A$13,0),MATCH($A$121,E_budgeted!$B$2:$G$2,0))&gt;0,MIN('Mkuze-Mtamvuna CMA'!H80,E_budgeted!H208),'Mkuze-Mtamvuna CMA'!H80)</f>
        <v>539495.90062514914</v>
      </c>
      <c r="I160" s="32">
        <f>IF(INDEX(E_budgeted!$B$3:$G$13,MATCH($A160,E_budgeted!$A$3:$A$13,0),MATCH($A$121,E_budgeted!$B$2:$G$2,0))&gt;0,MIN('Mkuze-Mtamvuna CMA'!I80,E_budgeted!I208),'Mkuze-Mtamvuna CMA'!I80)</f>
        <v>539495.90062514914</v>
      </c>
      <c r="J160" s="32">
        <f>IF(INDEX(E_budgeted!$B$3:$G$13,MATCH($A160,E_budgeted!$A$3:$A$13,0),MATCH($A$121,E_budgeted!$B$2:$G$2,0))&gt;0,MIN('Mkuze-Mtamvuna CMA'!J80,E_budgeted!J208),'Mkuze-Mtamvuna CMA'!J80)</f>
        <v>539495.90062514914</v>
      </c>
      <c r="K160" s="32">
        <f>IF(INDEX(E_budgeted!$B$3:$G$13,MATCH($A160,E_budgeted!$A$3:$A$13,0),MATCH($A$121,E_budgeted!$B$2:$G$2,0))&gt;0,MIN('Mkuze-Mtamvuna CMA'!K80,E_budgeted!K208),'Mkuze-Mtamvuna CMA'!K80)</f>
        <v>539495.90062514914</v>
      </c>
      <c r="L160" s="5">
        <f t="shared" si="103"/>
        <v>539495.90062514902</v>
      </c>
    </row>
    <row r="161" spans="1:12" x14ac:dyDescent="0.25">
      <c r="A161" s="4" t="s">
        <v>37</v>
      </c>
      <c r="B161" s="32">
        <f>IF(INDEX(E_budgeted!$B$3:$G$13,MATCH($A161,E_budgeted!$A$3:$A$13,0),MATCH($A$121,E_budgeted!$B$2:$G$2,0))&gt;0,MIN('Mkuze-Mtamvuna CMA'!B81,E_budgeted!B209),'Mkuze-Mtamvuna CMA'!B81)</f>
        <v>11246306.237127731</v>
      </c>
      <c r="C161" s="32">
        <f>IF(INDEX(E_budgeted!$B$3:$G$13,MATCH($A161,E_budgeted!$A$3:$A$13,0),MATCH($A$121,E_budgeted!$B$2:$G$2,0))&gt;0,MIN('Mkuze-Mtamvuna CMA'!C81,E_budgeted!C209),'Mkuze-Mtamvuna CMA'!C81)</f>
        <v>11246306.237127731</v>
      </c>
      <c r="D161" s="32">
        <f>IF(INDEX(E_budgeted!$B$3:$G$13,MATCH($A161,E_budgeted!$A$3:$A$13,0),MATCH($A$121,E_budgeted!$B$2:$G$2,0))&gt;0,MIN('Mkuze-Mtamvuna CMA'!D81,E_budgeted!D209),'Mkuze-Mtamvuna CMA'!D81)</f>
        <v>11246306.237127731</v>
      </c>
      <c r="E161" s="32">
        <f>IF(INDEX(E_budgeted!$B$3:$G$13,MATCH($A161,E_budgeted!$A$3:$A$13,0),MATCH($A$121,E_budgeted!$B$2:$G$2,0))&gt;0,MIN('Mkuze-Mtamvuna CMA'!E81,E_budgeted!E209),'Mkuze-Mtamvuna CMA'!E81)</f>
        <v>11246306.237127731</v>
      </c>
      <c r="F161" s="32">
        <f>IF(INDEX(E_budgeted!$B$3:$G$13,MATCH($A161,E_budgeted!$A$3:$A$13,0),MATCH($A$121,E_budgeted!$B$2:$G$2,0))&gt;0,MIN('Mkuze-Mtamvuna CMA'!F81,E_budgeted!F209),'Mkuze-Mtamvuna CMA'!F81)</f>
        <v>11246306.237127731</v>
      </c>
      <c r="G161" s="32">
        <f>IF(INDEX(E_budgeted!$B$3:$G$13,MATCH($A161,E_budgeted!$A$3:$A$13,0),MATCH($A$121,E_budgeted!$B$2:$G$2,0))&gt;0,MIN('Mkuze-Mtamvuna CMA'!G81,E_budgeted!G209),'Mkuze-Mtamvuna CMA'!G81)</f>
        <v>11246306.237127731</v>
      </c>
      <c r="H161" s="32">
        <f>IF(INDEX(E_budgeted!$B$3:$G$13,MATCH($A161,E_budgeted!$A$3:$A$13,0),MATCH($A$121,E_budgeted!$B$2:$G$2,0))&gt;0,MIN('Mkuze-Mtamvuna CMA'!H81,E_budgeted!H209),'Mkuze-Mtamvuna CMA'!H81)</f>
        <v>11246306.237127731</v>
      </c>
      <c r="I161" s="32">
        <f>IF(INDEX(E_budgeted!$B$3:$G$13,MATCH($A161,E_budgeted!$A$3:$A$13,0),MATCH($A$121,E_budgeted!$B$2:$G$2,0))&gt;0,MIN('Mkuze-Mtamvuna CMA'!I81,E_budgeted!I209),'Mkuze-Mtamvuna CMA'!I81)</f>
        <v>11246306.237127731</v>
      </c>
      <c r="J161" s="32">
        <f>IF(INDEX(E_budgeted!$B$3:$G$13,MATCH($A161,E_budgeted!$A$3:$A$13,0),MATCH($A$121,E_budgeted!$B$2:$G$2,0))&gt;0,MIN('Mkuze-Mtamvuna CMA'!J81,E_budgeted!J209),'Mkuze-Mtamvuna CMA'!J81)</f>
        <v>11246306.237127731</v>
      </c>
      <c r="K161" s="32">
        <f>IF(INDEX(E_budgeted!$B$3:$G$13,MATCH($A161,E_budgeted!$A$3:$A$13,0),MATCH($A$121,E_budgeted!$B$2:$G$2,0))&gt;0,MIN('Mkuze-Mtamvuna CMA'!K81,E_budgeted!K209),'Mkuze-Mtamvuna CMA'!K81)</f>
        <v>11246306.237127731</v>
      </c>
      <c r="L161" s="5">
        <f t="shared" si="103"/>
        <v>11246306.237127732</v>
      </c>
    </row>
    <row r="162" spans="1:12" x14ac:dyDescent="0.25">
      <c r="A162" s="4" t="s">
        <v>38</v>
      </c>
      <c r="B162" s="32">
        <f>IF(INDEX(E_budgeted!$B$3:$G$13,MATCH($A162,E_budgeted!$A$3:$A$13,0),MATCH($A$121,E_budgeted!$B$2:$G$2,0))&gt;0,MIN('Mkuze-Mtamvuna CMA'!B82,E_budgeted!B210),'Mkuze-Mtamvuna CMA'!B82)</f>
        <v>0</v>
      </c>
      <c r="C162" s="32">
        <f>IF(INDEX(E_budgeted!$B$3:$G$13,MATCH($A162,E_budgeted!$A$3:$A$13,0),MATCH($A$121,E_budgeted!$B$2:$G$2,0))&gt;0,MIN('Mkuze-Mtamvuna CMA'!C82,E_budgeted!C210),'Mkuze-Mtamvuna CMA'!C82)</f>
        <v>0</v>
      </c>
      <c r="D162" s="32">
        <f>IF(INDEX(E_budgeted!$B$3:$G$13,MATCH($A162,E_budgeted!$A$3:$A$13,0),MATCH($A$121,E_budgeted!$B$2:$G$2,0))&gt;0,MIN('Mkuze-Mtamvuna CMA'!D82,E_budgeted!D210),'Mkuze-Mtamvuna CMA'!D82)</f>
        <v>0</v>
      </c>
      <c r="E162" s="32">
        <f>IF(INDEX(E_budgeted!$B$3:$G$13,MATCH($A162,E_budgeted!$A$3:$A$13,0),MATCH($A$121,E_budgeted!$B$2:$G$2,0))&gt;0,MIN('Mkuze-Mtamvuna CMA'!E82,E_budgeted!E210),'Mkuze-Mtamvuna CMA'!E82)</f>
        <v>0</v>
      </c>
      <c r="F162" s="32">
        <f>IF(INDEX(E_budgeted!$B$3:$G$13,MATCH($A162,E_budgeted!$A$3:$A$13,0),MATCH($A$121,E_budgeted!$B$2:$G$2,0))&gt;0,MIN('Mkuze-Mtamvuna CMA'!F82,E_budgeted!F210),'Mkuze-Mtamvuna CMA'!F82)</f>
        <v>0</v>
      </c>
      <c r="G162" s="32">
        <f>IF(INDEX(E_budgeted!$B$3:$G$13,MATCH($A162,E_budgeted!$A$3:$A$13,0),MATCH($A$121,E_budgeted!$B$2:$G$2,0))&gt;0,MIN('Mkuze-Mtamvuna CMA'!G82,E_budgeted!G210),'Mkuze-Mtamvuna CMA'!G82)</f>
        <v>0</v>
      </c>
      <c r="H162" s="32">
        <f>IF(INDEX(E_budgeted!$B$3:$G$13,MATCH($A162,E_budgeted!$A$3:$A$13,0),MATCH($A$121,E_budgeted!$B$2:$G$2,0))&gt;0,MIN('Mkuze-Mtamvuna CMA'!H82,E_budgeted!H210),'Mkuze-Mtamvuna CMA'!H82)</f>
        <v>0</v>
      </c>
      <c r="I162" s="32">
        <f>IF(INDEX(E_budgeted!$B$3:$G$13,MATCH($A162,E_budgeted!$A$3:$A$13,0),MATCH($A$121,E_budgeted!$B$2:$G$2,0))&gt;0,MIN('Mkuze-Mtamvuna CMA'!I82,E_budgeted!I210),'Mkuze-Mtamvuna CMA'!I82)</f>
        <v>0</v>
      </c>
      <c r="J162" s="32">
        <f>IF(INDEX(E_budgeted!$B$3:$G$13,MATCH($A162,E_budgeted!$A$3:$A$13,0),MATCH($A$121,E_budgeted!$B$2:$G$2,0))&gt;0,MIN('Mkuze-Mtamvuna CMA'!J82,E_budgeted!J210),'Mkuze-Mtamvuna CMA'!J82)</f>
        <v>0</v>
      </c>
      <c r="K162" s="32">
        <f>IF(INDEX(E_budgeted!$B$3:$G$13,MATCH($A162,E_budgeted!$A$3:$A$13,0),MATCH($A$121,E_budgeted!$B$2:$G$2,0))&gt;0,MIN('Mkuze-Mtamvuna CMA'!K82,E_budgeted!K210),'Mkuze-Mtamvuna CMA'!K82)</f>
        <v>0</v>
      </c>
      <c r="L162" s="5">
        <f t="shared" si="103"/>
        <v>0</v>
      </c>
    </row>
    <row r="163" spans="1:12" x14ac:dyDescent="0.25">
      <c r="A163" s="4" t="s">
        <v>15</v>
      </c>
      <c r="B163" s="13">
        <f>IF(INDEX(E_budgeted!$B$3:$G$13,MATCH($A163,E_budgeted!$A$3:$A$13,0),MATCH($A$121,E_budgeted!$B$2:$G$2,0))&gt;0,MIN('Mkuze-Mtamvuna CMA'!B83,E_budgeted!B211),'Mkuze-Mtamvuna CMA'!B83)</f>
        <v>3468985.2891666656</v>
      </c>
      <c r="C163" s="13">
        <f>IF(INDEX(E_budgeted!$B$3:$G$13,MATCH($A163,E_budgeted!$A$3:$A$13,0),MATCH($A$121,E_budgeted!$B$2:$G$2,0))&gt;0,MIN('Mkuze-Mtamvuna CMA'!C83,E_budgeted!C211),'Mkuze-Mtamvuna CMA'!C83)</f>
        <v>3468985.2891666656</v>
      </c>
      <c r="D163" s="13">
        <f>IF(INDEX(E_budgeted!$B$3:$G$13,MATCH($A163,E_budgeted!$A$3:$A$13,0),MATCH($A$121,E_budgeted!$B$2:$G$2,0))&gt;0,MIN('Mkuze-Mtamvuna CMA'!D83,E_budgeted!D211),'Mkuze-Mtamvuna CMA'!D83)</f>
        <v>3468985.2891666656</v>
      </c>
      <c r="E163" s="13">
        <f>IF(INDEX(E_budgeted!$B$3:$G$13,MATCH($A163,E_budgeted!$A$3:$A$13,0),MATCH($A$121,E_budgeted!$B$2:$G$2,0))&gt;0,MIN('Mkuze-Mtamvuna CMA'!E83,E_budgeted!E211),'Mkuze-Mtamvuna CMA'!E83)</f>
        <v>3468985.2891666656</v>
      </c>
      <c r="F163" s="13">
        <f>IF(INDEX(E_budgeted!$B$3:$G$13,MATCH($A163,E_budgeted!$A$3:$A$13,0),MATCH($A$121,E_budgeted!$B$2:$G$2,0))&gt;0,MIN('Mkuze-Mtamvuna CMA'!F83,E_budgeted!F211),'Mkuze-Mtamvuna CMA'!F83)</f>
        <v>3468985.2891666656</v>
      </c>
      <c r="G163" s="13">
        <f>IF(INDEX(E_budgeted!$B$3:$G$13,MATCH($A163,E_budgeted!$A$3:$A$13,0),MATCH($A$121,E_budgeted!$B$2:$G$2,0))&gt;0,MIN('Mkuze-Mtamvuna CMA'!G83,E_budgeted!G211),'Mkuze-Mtamvuna CMA'!G83)</f>
        <v>3468985.2891666656</v>
      </c>
      <c r="H163" s="13">
        <f>IF(INDEX(E_budgeted!$B$3:$G$13,MATCH($A163,E_budgeted!$A$3:$A$13,0),MATCH($A$121,E_budgeted!$B$2:$G$2,0))&gt;0,MIN('Mkuze-Mtamvuna CMA'!H83,E_budgeted!H211),'Mkuze-Mtamvuna CMA'!H83)</f>
        <v>3468985.2891666656</v>
      </c>
      <c r="I163" s="13">
        <f>IF(INDEX(E_budgeted!$B$3:$G$13,MATCH($A163,E_budgeted!$A$3:$A$13,0),MATCH($A$121,E_budgeted!$B$2:$G$2,0))&gt;0,MIN('Mkuze-Mtamvuna CMA'!I83,E_budgeted!I211),'Mkuze-Mtamvuna CMA'!I83)</f>
        <v>3468985.2891666656</v>
      </c>
      <c r="J163" s="13">
        <f>IF(INDEX(E_budgeted!$B$3:$G$13,MATCH($A163,E_budgeted!$A$3:$A$13,0),MATCH($A$121,E_budgeted!$B$2:$G$2,0))&gt;0,MIN('Mkuze-Mtamvuna CMA'!J83,E_budgeted!J211),'Mkuze-Mtamvuna CMA'!J83)</f>
        <v>3468985.2891666656</v>
      </c>
      <c r="K163" s="13">
        <f>IF(INDEX(E_budgeted!$B$3:$G$13,MATCH($A163,E_budgeted!$A$3:$A$13,0),MATCH($A$121,E_budgeted!$B$2:$G$2,0))&gt;0,MIN('Mkuze-Mtamvuna CMA'!K83,E_budgeted!K211),'Mkuze-Mtamvuna CMA'!K83)</f>
        <v>3468985.2891666656</v>
      </c>
      <c r="L163" s="5">
        <f t="shared" si="103"/>
        <v>3468985.2891666656</v>
      </c>
    </row>
    <row r="164" spans="1:12" x14ac:dyDescent="0.25">
      <c r="B164" s="5">
        <f>SUM(B153:B163)</f>
        <v>20943707.473728739</v>
      </c>
      <c r="C164" s="5">
        <f t="shared" ref="C164:K164" si="104">SUM(C153:C163)</f>
        <v>20943707.473728739</v>
      </c>
      <c r="D164" s="5">
        <f t="shared" si="104"/>
        <v>20943707.473728739</v>
      </c>
      <c r="E164" s="5">
        <f t="shared" si="104"/>
        <v>20943707.473728739</v>
      </c>
      <c r="F164" s="5">
        <f t="shared" si="104"/>
        <v>20943707.473728739</v>
      </c>
      <c r="G164" s="5">
        <f t="shared" si="104"/>
        <v>20943707.473728739</v>
      </c>
      <c r="H164" s="5">
        <f t="shared" si="104"/>
        <v>20943707.473728739</v>
      </c>
      <c r="I164" s="5">
        <f t="shared" si="104"/>
        <v>20943707.473728739</v>
      </c>
      <c r="J164" s="5">
        <f t="shared" si="104"/>
        <v>20943707.473728739</v>
      </c>
      <c r="K164" s="5">
        <f t="shared" si="104"/>
        <v>20943707.473728739</v>
      </c>
      <c r="L164" s="5"/>
    </row>
    <row r="165" spans="1:12" x14ac:dyDescent="0.25">
      <c r="B165" s="16">
        <f>B164/$B$135</f>
        <v>0.24229020669138696</v>
      </c>
    </row>
    <row r="166" spans="1:12" ht="30" x14ac:dyDescent="0.25">
      <c r="A166" s="15" t="s">
        <v>94</v>
      </c>
      <c r="B166" s="12" t="str">
        <f>'Summary dashboard'!C4</f>
        <v>2023</v>
      </c>
      <c r="C166" s="12">
        <f t="shared" ref="C166" si="105">B166+1</f>
        <v>2024</v>
      </c>
      <c r="D166" s="12">
        <f t="shared" ref="D166" si="106">C166+1</f>
        <v>2025</v>
      </c>
      <c r="E166" s="12">
        <f t="shared" ref="E166" si="107">D166+1</f>
        <v>2026</v>
      </c>
      <c r="F166" s="12">
        <f t="shared" ref="F166" si="108">E166+1</f>
        <v>2027</v>
      </c>
      <c r="G166" s="12">
        <f t="shared" ref="G166" si="109">F166+1</f>
        <v>2028</v>
      </c>
      <c r="H166" s="12">
        <f t="shared" ref="H166" si="110">G166+1</f>
        <v>2029</v>
      </c>
      <c r="I166" s="12">
        <f t="shared" ref="I166" si="111">H166+1</f>
        <v>2030</v>
      </c>
      <c r="J166" s="12">
        <f t="shared" ref="J166" si="112">I166+1</f>
        <v>2031</v>
      </c>
      <c r="K166" s="12">
        <f t="shared" ref="K166" si="113">J166+1</f>
        <v>2032</v>
      </c>
      <c r="L166" s="1" t="s">
        <v>28</v>
      </c>
    </row>
    <row r="167" spans="1:12" x14ac:dyDescent="0.25">
      <c r="A167" s="4" t="s">
        <v>35</v>
      </c>
      <c r="B167" s="32">
        <f>IF(INDEX(E_budgeted!$B$3:$G$13,MATCH($A167,E_budgeted!$A$3:$A$13,0),MATCH($A$121,E_budgeted!$B$2:$G$2,0))&gt;0,MIN('Mkuze-Mtamvuna CMA'!B87,E_budgeted!B215),'Mkuze-Mtamvuna CMA'!B87)</f>
        <v>5778601.8599641873</v>
      </c>
      <c r="C167" s="32">
        <f>IF(INDEX(E_budgeted!$B$3:$G$13,MATCH($A167,E_budgeted!$A$3:$A$13,0),MATCH($A$121,E_budgeted!$B$2:$G$2,0))&gt;0,MIN('Mkuze-Mtamvuna CMA'!C87,E_budgeted!C215),'Mkuze-Mtamvuna CMA'!C87)</f>
        <v>5778601.8599641873</v>
      </c>
      <c r="D167" s="32">
        <f>IF(INDEX(E_budgeted!$B$3:$G$13,MATCH($A167,E_budgeted!$A$3:$A$13,0),MATCH($A$121,E_budgeted!$B$2:$G$2,0))&gt;0,MIN('Mkuze-Mtamvuna CMA'!D87,E_budgeted!D215),'Mkuze-Mtamvuna CMA'!D87)</f>
        <v>5778601.8599641873</v>
      </c>
      <c r="E167" s="32">
        <f>IF(INDEX(E_budgeted!$B$3:$G$13,MATCH($A167,E_budgeted!$A$3:$A$13,0),MATCH($A$121,E_budgeted!$B$2:$G$2,0))&gt;0,MIN('Mkuze-Mtamvuna CMA'!E87,E_budgeted!E215),'Mkuze-Mtamvuna CMA'!E87)</f>
        <v>5778601.8599641873</v>
      </c>
      <c r="F167" s="32">
        <f>IF(INDEX(E_budgeted!$B$3:$G$13,MATCH($A167,E_budgeted!$A$3:$A$13,0),MATCH($A$121,E_budgeted!$B$2:$G$2,0))&gt;0,MIN('Mkuze-Mtamvuna CMA'!F87,E_budgeted!F215),'Mkuze-Mtamvuna CMA'!F87)</f>
        <v>5778601.8599641873</v>
      </c>
      <c r="G167" s="32">
        <f>IF(INDEX(E_budgeted!$B$3:$G$13,MATCH($A167,E_budgeted!$A$3:$A$13,0),MATCH($A$121,E_budgeted!$B$2:$G$2,0))&gt;0,MIN('Mkuze-Mtamvuna CMA'!G87,E_budgeted!G215),'Mkuze-Mtamvuna CMA'!G87)</f>
        <v>5778601.8599641873</v>
      </c>
      <c r="H167" s="32">
        <f>IF(INDEX(E_budgeted!$B$3:$G$13,MATCH($A167,E_budgeted!$A$3:$A$13,0),MATCH($A$121,E_budgeted!$B$2:$G$2,0))&gt;0,MIN('Mkuze-Mtamvuna CMA'!H87,E_budgeted!H215),'Mkuze-Mtamvuna CMA'!H87)</f>
        <v>5778601.8599641873</v>
      </c>
      <c r="I167" s="32">
        <f>IF(INDEX(E_budgeted!$B$3:$G$13,MATCH($A167,E_budgeted!$A$3:$A$13,0),MATCH($A$121,E_budgeted!$B$2:$G$2,0))&gt;0,MIN('Mkuze-Mtamvuna CMA'!I87,E_budgeted!I215),'Mkuze-Mtamvuna CMA'!I87)</f>
        <v>5778601.8599641873</v>
      </c>
      <c r="J167" s="32">
        <f>IF(INDEX(E_budgeted!$B$3:$G$13,MATCH($A167,E_budgeted!$A$3:$A$13,0),MATCH($A$121,E_budgeted!$B$2:$G$2,0))&gt;0,MIN('Mkuze-Mtamvuna CMA'!J87,E_budgeted!J215),'Mkuze-Mtamvuna CMA'!J87)</f>
        <v>5778601.8599641873</v>
      </c>
      <c r="K167" s="32">
        <f>IF(INDEX(E_budgeted!$B$3:$G$13,MATCH($A167,E_budgeted!$A$3:$A$13,0),MATCH($A$121,E_budgeted!$B$2:$G$2,0))&gt;0,MIN('Mkuze-Mtamvuna CMA'!K87,E_budgeted!K215),'Mkuze-Mtamvuna CMA'!K87)</f>
        <v>5778601.8599641873</v>
      </c>
      <c r="L167" s="5">
        <f>AVERAGE(B167:K167)</f>
        <v>5778601.8599641863</v>
      </c>
    </row>
    <row r="168" spans="1:12" x14ac:dyDescent="0.25">
      <c r="A168" s="4" t="s">
        <v>36</v>
      </c>
      <c r="B168" s="32">
        <f>IF(INDEX(E_budgeted!$B$3:$G$13,MATCH($A168,E_budgeted!$A$3:$A$13,0),MATCH($A$121,E_budgeted!$B$2:$G$2,0))&gt;0,MIN('Mkuze-Mtamvuna CMA'!B88,E_budgeted!B216),'Mkuze-Mtamvuna CMA'!B88)</f>
        <v>945592.15278379642</v>
      </c>
      <c r="C168" s="32">
        <f>IF(INDEX(E_budgeted!$B$3:$G$13,MATCH($A168,E_budgeted!$A$3:$A$13,0),MATCH($A$121,E_budgeted!$B$2:$G$2,0))&gt;0,MIN('Mkuze-Mtamvuna CMA'!C88,E_budgeted!C216),'Mkuze-Mtamvuna CMA'!C88)</f>
        <v>945592.15278379642</v>
      </c>
      <c r="D168" s="32">
        <f>IF(INDEX(E_budgeted!$B$3:$G$13,MATCH($A168,E_budgeted!$A$3:$A$13,0),MATCH($A$121,E_budgeted!$B$2:$G$2,0))&gt;0,MIN('Mkuze-Mtamvuna CMA'!D88,E_budgeted!D216),'Mkuze-Mtamvuna CMA'!D88)</f>
        <v>945592.15278379642</v>
      </c>
      <c r="E168" s="32">
        <f>IF(INDEX(E_budgeted!$B$3:$G$13,MATCH($A168,E_budgeted!$A$3:$A$13,0),MATCH($A$121,E_budgeted!$B$2:$G$2,0))&gt;0,MIN('Mkuze-Mtamvuna CMA'!E88,E_budgeted!E216),'Mkuze-Mtamvuna CMA'!E88)</f>
        <v>945592.15278379642</v>
      </c>
      <c r="F168" s="32">
        <f>IF(INDEX(E_budgeted!$B$3:$G$13,MATCH($A168,E_budgeted!$A$3:$A$13,0),MATCH($A$121,E_budgeted!$B$2:$G$2,0))&gt;0,MIN('Mkuze-Mtamvuna CMA'!F88,E_budgeted!F216),'Mkuze-Mtamvuna CMA'!F88)</f>
        <v>945592.15278379642</v>
      </c>
      <c r="G168" s="32">
        <f>IF(INDEX(E_budgeted!$B$3:$G$13,MATCH($A168,E_budgeted!$A$3:$A$13,0),MATCH($A$121,E_budgeted!$B$2:$G$2,0))&gt;0,MIN('Mkuze-Mtamvuna CMA'!G88,E_budgeted!G216),'Mkuze-Mtamvuna CMA'!G88)</f>
        <v>945592.15278379642</v>
      </c>
      <c r="H168" s="32">
        <f>IF(INDEX(E_budgeted!$B$3:$G$13,MATCH($A168,E_budgeted!$A$3:$A$13,0),MATCH($A$121,E_budgeted!$B$2:$G$2,0))&gt;0,MIN('Mkuze-Mtamvuna CMA'!H88,E_budgeted!H216),'Mkuze-Mtamvuna CMA'!H88)</f>
        <v>945592.15278379642</v>
      </c>
      <c r="I168" s="32">
        <f>IF(INDEX(E_budgeted!$B$3:$G$13,MATCH($A168,E_budgeted!$A$3:$A$13,0),MATCH($A$121,E_budgeted!$B$2:$G$2,0))&gt;0,MIN('Mkuze-Mtamvuna CMA'!I88,E_budgeted!I216),'Mkuze-Mtamvuna CMA'!I88)</f>
        <v>945592.15278379642</v>
      </c>
      <c r="J168" s="32">
        <f>IF(INDEX(E_budgeted!$B$3:$G$13,MATCH($A168,E_budgeted!$A$3:$A$13,0),MATCH($A$121,E_budgeted!$B$2:$G$2,0))&gt;0,MIN('Mkuze-Mtamvuna CMA'!J88,E_budgeted!J216),'Mkuze-Mtamvuna CMA'!J88)</f>
        <v>945592.15278379642</v>
      </c>
      <c r="K168" s="32">
        <f>IF(INDEX(E_budgeted!$B$3:$G$13,MATCH($A168,E_budgeted!$A$3:$A$13,0),MATCH($A$121,E_budgeted!$B$2:$G$2,0))&gt;0,MIN('Mkuze-Mtamvuna CMA'!K88,E_budgeted!K216),'Mkuze-Mtamvuna CMA'!K88)</f>
        <v>945592.15278379642</v>
      </c>
      <c r="L168" s="5">
        <f t="shared" ref="L168:L177" si="114">AVERAGE(B168:K168)</f>
        <v>945592.15278379642</v>
      </c>
    </row>
    <row r="169" spans="1:12" x14ac:dyDescent="0.25">
      <c r="A169" s="4" t="s">
        <v>11</v>
      </c>
      <c r="B169" s="32">
        <f>IF(INDEX(E_budgeted!$B$3:$G$13,MATCH($A169,E_budgeted!$A$3:$A$13,0),MATCH($A$121,E_budgeted!$B$2:$G$2,0))&gt;0,MIN('Mkuze-Mtamvuna CMA'!B89,E_budgeted!B217),'Mkuze-Mtamvuna CMA'!B89)</f>
        <v>0</v>
      </c>
      <c r="C169" s="32">
        <f>IF(INDEX(E_budgeted!$B$3:$G$13,MATCH($A169,E_budgeted!$A$3:$A$13,0),MATCH($A$121,E_budgeted!$B$2:$G$2,0))&gt;0,MIN('Mkuze-Mtamvuna CMA'!C89,E_budgeted!C217),'Mkuze-Mtamvuna CMA'!C89)</f>
        <v>0</v>
      </c>
      <c r="D169" s="32">
        <f>IF(INDEX(E_budgeted!$B$3:$G$13,MATCH($A169,E_budgeted!$A$3:$A$13,0),MATCH($A$121,E_budgeted!$B$2:$G$2,0))&gt;0,MIN('Mkuze-Mtamvuna CMA'!D89,E_budgeted!D217),'Mkuze-Mtamvuna CMA'!D89)</f>
        <v>0</v>
      </c>
      <c r="E169" s="32">
        <f>IF(INDEX(E_budgeted!$B$3:$G$13,MATCH($A169,E_budgeted!$A$3:$A$13,0),MATCH($A$121,E_budgeted!$B$2:$G$2,0))&gt;0,MIN('Mkuze-Mtamvuna CMA'!E89,E_budgeted!E217),'Mkuze-Mtamvuna CMA'!E89)</f>
        <v>0</v>
      </c>
      <c r="F169" s="32">
        <f>IF(INDEX(E_budgeted!$B$3:$G$13,MATCH($A169,E_budgeted!$A$3:$A$13,0),MATCH($A$121,E_budgeted!$B$2:$G$2,0))&gt;0,MIN('Mkuze-Mtamvuna CMA'!F89,E_budgeted!F217),'Mkuze-Mtamvuna CMA'!F89)</f>
        <v>0</v>
      </c>
      <c r="G169" s="32">
        <f>IF(INDEX(E_budgeted!$B$3:$G$13,MATCH($A169,E_budgeted!$A$3:$A$13,0),MATCH($A$121,E_budgeted!$B$2:$G$2,0))&gt;0,MIN('Mkuze-Mtamvuna CMA'!G89,E_budgeted!G217),'Mkuze-Mtamvuna CMA'!G89)</f>
        <v>0</v>
      </c>
      <c r="H169" s="32">
        <f>IF(INDEX(E_budgeted!$B$3:$G$13,MATCH($A169,E_budgeted!$A$3:$A$13,0),MATCH($A$121,E_budgeted!$B$2:$G$2,0))&gt;0,MIN('Mkuze-Mtamvuna CMA'!H89,E_budgeted!H217),'Mkuze-Mtamvuna CMA'!H89)</f>
        <v>0</v>
      </c>
      <c r="I169" s="32">
        <f>IF(INDEX(E_budgeted!$B$3:$G$13,MATCH($A169,E_budgeted!$A$3:$A$13,0),MATCH($A$121,E_budgeted!$B$2:$G$2,0))&gt;0,MIN('Mkuze-Mtamvuna CMA'!I89,E_budgeted!I217),'Mkuze-Mtamvuna CMA'!I89)</f>
        <v>0</v>
      </c>
      <c r="J169" s="32">
        <f>IF(INDEX(E_budgeted!$B$3:$G$13,MATCH($A169,E_budgeted!$A$3:$A$13,0),MATCH($A$121,E_budgeted!$B$2:$G$2,0))&gt;0,MIN('Mkuze-Mtamvuna CMA'!J89,E_budgeted!J217),'Mkuze-Mtamvuna CMA'!J89)</f>
        <v>0</v>
      </c>
      <c r="K169" s="32">
        <f>IF(INDEX(E_budgeted!$B$3:$G$13,MATCH($A169,E_budgeted!$A$3:$A$13,0),MATCH($A$121,E_budgeted!$B$2:$G$2,0))&gt;0,MIN('Mkuze-Mtamvuna CMA'!K89,E_budgeted!K217),'Mkuze-Mtamvuna CMA'!K89)</f>
        <v>0</v>
      </c>
      <c r="L169" s="5">
        <f t="shared" si="114"/>
        <v>0</v>
      </c>
    </row>
    <row r="170" spans="1:12" x14ac:dyDescent="0.25">
      <c r="A170" s="4" t="s">
        <v>124</v>
      </c>
      <c r="B170" s="32">
        <f>IF(INDEX(E_budgeted!$B$3:$G$13,MATCH($A170,E_budgeted!$A$3:$A$13,0),MATCH($A$121,E_budgeted!$B$2:$G$2,0))&gt;0,MIN('Mkuze-Mtamvuna CMA'!B90,E_budgeted!B218),'Mkuze-Mtamvuna CMA'!B90)</f>
        <v>350000</v>
      </c>
      <c r="C170" s="32">
        <f>IF(INDEX(E_budgeted!$B$3:$G$13,MATCH($A170,E_budgeted!$A$3:$A$13,0),MATCH($A$121,E_budgeted!$B$2:$G$2,0))&gt;0,MIN('Mkuze-Mtamvuna CMA'!C90,E_budgeted!C218),'Mkuze-Mtamvuna CMA'!C90)</f>
        <v>350000</v>
      </c>
      <c r="D170" s="32">
        <f>IF(INDEX(E_budgeted!$B$3:$G$13,MATCH($A170,E_budgeted!$A$3:$A$13,0),MATCH($A$121,E_budgeted!$B$2:$G$2,0))&gt;0,MIN('Mkuze-Mtamvuna CMA'!D90,E_budgeted!D218),'Mkuze-Mtamvuna CMA'!D90)</f>
        <v>350000</v>
      </c>
      <c r="E170" s="32">
        <f>IF(INDEX(E_budgeted!$B$3:$G$13,MATCH($A170,E_budgeted!$A$3:$A$13,0),MATCH($A$121,E_budgeted!$B$2:$G$2,0))&gt;0,MIN('Mkuze-Mtamvuna CMA'!E90,E_budgeted!E218),'Mkuze-Mtamvuna CMA'!E90)</f>
        <v>350000</v>
      </c>
      <c r="F170" s="32">
        <f>IF(INDEX(E_budgeted!$B$3:$G$13,MATCH($A170,E_budgeted!$A$3:$A$13,0),MATCH($A$121,E_budgeted!$B$2:$G$2,0))&gt;0,MIN('Mkuze-Mtamvuna CMA'!F90,E_budgeted!F218),'Mkuze-Mtamvuna CMA'!F90)</f>
        <v>350000</v>
      </c>
      <c r="G170" s="32">
        <f>IF(INDEX(E_budgeted!$B$3:$G$13,MATCH($A170,E_budgeted!$A$3:$A$13,0),MATCH($A$121,E_budgeted!$B$2:$G$2,0))&gt;0,MIN('Mkuze-Mtamvuna CMA'!G90,E_budgeted!G218),'Mkuze-Mtamvuna CMA'!G90)</f>
        <v>350000</v>
      </c>
      <c r="H170" s="32">
        <f>IF(INDEX(E_budgeted!$B$3:$G$13,MATCH($A170,E_budgeted!$A$3:$A$13,0),MATCH($A$121,E_budgeted!$B$2:$G$2,0))&gt;0,MIN('Mkuze-Mtamvuna CMA'!H90,E_budgeted!H218),'Mkuze-Mtamvuna CMA'!H90)</f>
        <v>350000</v>
      </c>
      <c r="I170" s="32">
        <f>IF(INDEX(E_budgeted!$B$3:$G$13,MATCH($A170,E_budgeted!$A$3:$A$13,0),MATCH($A$121,E_budgeted!$B$2:$G$2,0))&gt;0,MIN('Mkuze-Mtamvuna CMA'!I90,E_budgeted!I218),'Mkuze-Mtamvuna CMA'!I90)</f>
        <v>350000</v>
      </c>
      <c r="J170" s="32">
        <f>IF(INDEX(E_budgeted!$B$3:$G$13,MATCH($A170,E_budgeted!$A$3:$A$13,0),MATCH($A$121,E_budgeted!$B$2:$G$2,0))&gt;0,MIN('Mkuze-Mtamvuna CMA'!J90,E_budgeted!J218),'Mkuze-Mtamvuna CMA'!J90)</f>
        <v>350000</v>
      </c>
      <c r="K170" s="32">
        <f>IF(INDEX(E_budgeted!$B$3:$G$13,MATCH($A170,E_budgeted!$A$3:$A$13,0),MATCH($A$121,E_budgeted!$B$2:$G$2,0))&gt;0,MIN('Mkuze-Mtamvuna CMA'!K90,E_budgeted!K218),'Mkuze-Mtamvuna CMA'!K90)</f>
        <v>350000</v>
      </c>
      <c r="L170" s="5">
        <f t="shared" si="114"/>
        <v>350000</v>
      </c>
    </row>
    <row r="171" spans="1:12" x14ac:dyDescent="0.25">
      <c r="A171" s="4" t="s">
        <v>12</v>
      </c>
      <c r="B171" s="32">
        <f>IF(INDEX(E_budgeted!$B$3:$G$13,MATCH($A171,E_budgeted!$A$3:$A$13,0),MATCH($A$121,E_budgeted!$B$2:$G$2,0))&gt;0,MIN('Mkuze-Mtamvuna CMA'!B91,E_budgeted!B219),'Mkuze-Mtamvuna CMA'!B91)</f>
        <v>1359408.2581607928</v>
      </c>
      <c r="C171" s="32">
        <f>IF(INDEX(E_budgeted!$B$3:$G$13,MATCH($A171,E_budgeted!$A$3:$A$13,0),MATCH($A$121,E_budgeted!$B$2:$G$2,0))&gt;0,MIN('Mkuze-Mtamvuna CMA'!C91,E_budgeted!C219),'Mkuze-Mtamvuna CMA'!C91)</f>
        <v>1359408.2581607928</v>
      </c>
      <c r="D171" s="32">
        <f>IF(INDEX(E_budgeted!$B$3:$G$13,MATCH($A171,E_budgeted!$A$3:$A$13,0),MATCH($A$121,E_budgeted!$B$2:$G$2,0))&gt;0,MIN('Mkuze-Mtamvuna CMA'!D91,E_budgeted!D219),'Mkuze-Mtamvuna CMA'!D91)</f>
        <v>1359408.2581607928</v>
      </c>
      <c r="E171" s="32">
        <f>IF(INDEX(E_budgeted!$B$3:$G$13,MATCH($A171,E_budgeted!$A$3:$A$13,0),MATCH($A$121,E_budgeted!$B$2:$G$2,0))&gt;0,MIN('Mkuze-Mtamvuna CMA'!E91,E_budgeted!E219),'Mkuze-Mtamvuna CMA'!E91)</f>
        <v>1359408.2581607928</v>
      </c>
      <c r="F171" s="32">
        <f>IF(INDEX(E_budgeted!$B$3:$G$13,MATCH($A171,E_budgeted!$A$3:$A$13,0),MATCH($A$121,E_budgeted!$B$2:$G$2,0))&gt;0,MIN('Mkuze-Mtamvuna CMA'!F91,E_budgeted!F219),'Mkuze-Mtamvuna CMA'!F91)</f>
        <v>1359408.2581607928</v>
      </c>
      <c r="G171" s="32">
        <f>IF(INDEX(E_budgeted!$B$3:$G$13,MATCH($A171,E_budgeted!$A$3:$A$13,0),MATCH($A$121,E_budgeted!$B$2:$G$2,0))&gt;0,MIN('Mkuze-Mtamvuna CMA'!G91,E_budgeted!G219),'Mkuze-Mtamvuna CMA'!G91)</f>
        <v>1359408.2581607928</v>
      </c>
      <c r="H171" s="32">
        <f>IF(INDEX(E_budgeted!$B$3:$G$13,MATCH($A171,E_budgeted!$A$3:$A$13,0),MATCH($A$121,E_budgeted!$B$2:$G$2,0))&gt;0,MIN('Mkuze-Mtamvuna CMA'!H91,E_budgeted!H219),'Mkuze-Mtamvuna CMA'!H91)</f>
        <v>1359408.2581607928</v>
      </c>
      <c r="I171" s="32">
        <f>IF(INDEX(E_budgeted!$B$3:$G$13,MATCH($A171,E_budgeted!$A$3:$A$13,0),MATCH($A$121,E_budgeted!$B$2:$G$2,0))&gt;0,MIN('Mkuze-Mtamvuna CMA'!I91,E_budgeted!I219),'Mkuze-Mtamvuna CMA'!I91)</f>
        <v>1359408.2581607928</v>
      </c>
      <c r="J171" s="32">
        <f>IF(INDEX(E_budgeted!$B$3:$G$13,MATCH($A171,E_budgeted!$A$3:$A$13,0),MATCH($A$121,E_budgeted!$B$2:$G$2,0))&gt;0,MIN('Mkuze-Mtamvuna CMA'!J91,E_budgeted!J219),'Mkuze-Mtamvuna CMA'!J91)</f>
        <v>1359408.2581607928</v>
      </c>
      <c r="K171" s="32">
        <f>IF(INDEX(E_budgeted!$B$3:$G$13,MATCH($A171,E_budgeted!$A$3:$A$13,0),MATCH($A$121,E_budgeted!$B$2:$G$2,0))&gt;0,MIN('Mkuze-Mtamvuna CMA'!K91,E_budgeted!K219),'Mkuze-Mtamvuna CMA'!K91)</f>
        <v>1359408.2581607928</v>
      </c>
      <c r="L171" s="5">
        <f t="shared" si="114"/>
        <v>1359408.2581607925</v>
      </c>
    </row>
    <row r="172" spans="1:12" x14ac:dyDescent="0.25">
      <c r="A172" s="4" t="s">
        <v>13</v>
      </c>
      <c r="B172" s="32">
        <f>IF(INDEX(E_budgeted!$B$3:$G$13,MATCH($A172,E_budgeted!$A$3:$A$13,0),MATCH($A$121,E_budgeted!$B$2:$G$2,0))&gt;0,MIN('Mkuze-Mtamvuna CMA'!B92,E_budgeted!B220),'Mkuze-Mtamvuna CMA'!B92)</f>
        <v>0</v>
      </c>
      <c r="C172" s="32">
        <f>IF(INDEX(E_budgeted!$B$3:$G$13,MATCH($A172,E_budgeted!$A$3:$A$13,0),MATCH($A$121,E_budgeted!$B$2:$G$2,0))&gt;0,MIN('Mkuze-Mtamvuna CMA'!C92,E_budgeted!C220),'Mkuze-Mtamvuna CMA'!C92)</f>
        <v>0</v>
      </c>
      <c r="D172" s="32">
        <f>IF(INDEX(E_budgeted!$B$3:$G$13,MATCH($A172,E_budgeted!$A$3:$A$13,0),MATCH($A$121,E_budgeted!$B$2:$G$2,0))&gt;0,MIN('Mkuze-Mtamvuna CMA'!D92,E_budgeted!D220),'Mkuze-Mtamvuna CMA'!D92)</f>
        <v>0</v>
      </c>
      <c r="E172" s="32">
        <f>IF(INDEX(E_budgeted!$B$3:$G$13,MATCH($A172,E_budgeted!$A$3:$A$13,0),MATCH($A$121,E_budgeted!$B$2:$G$2,0))&gt;0,MIN('Mkuze-Mtamvuna CMA'!E92,E_budgeted!E220),'Mkuze-Mtamvuna CMA'!E92)</f>
        <v>0</v>
      </c>
      <c r="F172" s="32">
        <f>IF(INDEX(E_budgeted!$B$3:$G$13,MATCH($A172,E_budgeted!$A$3:$A$13,0),MATCH($A$121,E_budgeted!$B$2:$G$2,0))&gt;0,MIN('Mkuze-Mtamvuna CMA'!F92,E_budgeted!F220),'Mkuze-Mtamvuna CMA'!F92)</f>
        <v>0</v>
      </c>
      <c r="G172" s="32">
        <f>IF(INDEX(E_budgeted!$B$3:$G$13,MATCH($A172,E_budgeted!$A$3:$A$13,0),MATCH($A$121,E_budgeted!$B$2:$G$2,0))&gt;0,MIN('Mkuze-Mtamvuna CMA'!G92,E_budgeted!G220),'Mkuze-Mtamvuna CMA'!G92)</f>
        <v>0</v>
      </c>
      <c r="H172" s="32">
        <f>IF(INDEX(E_budgeted!$B$3:$G$13,MATCH($A172,E_budgeted!$A$3:$A$13,0),MATCH($A$121,E_budgeted!$B$2:$G$2,0))&gt;0,MIN('Mkuze-Mtamvuna CMA'!H92,E_budgeted!H220),'Mkuze-Mtamvuna CMA'!H92)</f>
        <v>0</v>
      </c>
      <c r="I172" s="32">
        <f>IF(INDEX(E_budgeted!$B$3:$G$13,MATCH($A172,E_budgeted!$A$3:$A$13,0),MATCH($A$121,E_budgeted!$B$2:$G$2,0))&gt;0,MIN('Mkuze-Mtamvuna CMA'!I92,E_budgeted!I220),'Mkuze-Mtamvuna CMA'!I92)</f>
        <v>0</v>
      </c>
      <c r="J172" s="32">
        <f>IF(INDEX(E_budgeted!$B$3:$G$13,MATCH($A172,E_budgeted!$A$3:$A$13,0),MATCH($A$121,E_budgeted!$B$2:$G$2,0))&gt;0,MIN('Mkuze-Mtamvuna CMA'!J92,E_budgeted!J220),'Mkuze-Mtamvuna CMA'!J92)</f>
        <v>0</v>
      </c>
      <c r="K172" s="32">
        <f>IF(INDEX(E_budgeted!$B$3:$G$13,MATCH($A172,E_budgeted!$A$3:$A$13,0),MATCH($A$121,E_budgeted!$B$2:$G$2,0))&gt;0,MIN('Mkuze-Mtamvuna CMA'!K92,E_budgeted!K220),'Mkuze-Mtamvuna CMA'!K92)</f>
        <v>0</v>
      </c>
      <c r="L172" s="5">
        <f t="shared" si="114"/>
        <v>0</v>
      </c>
    </row>
    <row r="173" spans="1:12" x14ac:dyDescent="0.25">
      <c r="A173" s="4" t="s">
        <v>14</v>
      </c>
      <c r="B173" s="32">
        <f>IF(INDEX(E_budgeted!$B$3:$G$13,MATCH($A173,E_budgeted!$A$3:$A$13,0),MATCH($A$121,E_budgeted!$B$2:$G$2,0))&gt;0,MIN('Mkuze-Mtamvuna CMA'!B93,E_budgeted!B221),'Mkuze-Mtamvuna CMA'!B93)</f>
        <v>0</v>
      </c>
      <c r="C173" s="32">
        <f>IF(INDEX(E_budgeted!$B$3:$G$13,MATCH($A173,E_budgeted!$A$3:$A$13,0),MATCH($A$121,E_budgeted!$B$2:$G$2,0))&gt;0,MIN('Mkuze-Mtamvuna CMA'!C93,E_budgeted!C221),'Mkuze-Mtamvuna CMA'!C93)</f>
        <v>0</v>
      </c>
      <c r="D173" s="32">
        <f>IF(INDEX(E_budgeted!$B$3:$G$13,MATCH($A173,E_budgeted!$A$3:$A$13,0),MATCH($A$121,E_budgeted!$B$2:$G$2,0))&gt;0,MIN('Mkuze-Mtamvuna CMA'!D93,E_budgeted!D221),'Mkuze-Mtamvuna CMA'!D93)</f>
        <v>0</v>
      </c>
      <c r="E173" s="32">
        <f>IF(INDEX(E_budgeted!$B$3:$G$13,MATCH($A173,E_budgeted!$A$3:$A$13,0),MATCH($A$121,E_budgeted!$B$2:$G$2,0))&gt;0,MIN('Mkuze-Mtamvuna CMA'!E93,E_budgeted!E221),'Mkuze-Mtamvuna CMA'!E93)</f>
        <v>0</v>
      </c>
      <c r="F173" s="32">
        <f>IF(INDEX(E_budgeted!$B$3:$G$13,MATCH($A173,E_budgeted!$A$3:$A$13,0),MATCH($A$121,E_budgeted!$B$2:$G$2,0))&gt;0,MIN('Mkuze-Mtamvuna CMA'!F93,E_budgeted!F221),'Mkuze-Mtamvuna CMA'!F93)</f>
        <v>0</v>
      </c>
      <c r="G173" s="32">
        <f>IF(INDEX(E_budgeted!$B$3:$G$13,MATCH($A173,E_budgeted!$A$3:$A$13,0),MATCH($A$121,E_budgeted!$B$2:$G$2,0))&gt;0,MIN('Mkuze-Mtamvuna CMA'!G93,E_budgeted!G221),'Mkuze-Mtamvuna CMA'!G93)</f>
        <v>0</v>
      </c>
      <c r="H173" s="32">
        <f>IF(INDEX(E_budgeted!$B$3:$G$13,MATCH($A173,E_budgeted!$A$3:$A$13,0),MATCH($A$121,E_budgeted!$B$2:$G$2,0))&gt;0,MIN('Mkuze-Mtamvuna CMA'!H93,E_budgeted!H221),'Mkuze-Mtamvuna CMA'!H93)</f>
        <v>0</v>
      </c>
      <c r="I173" s="32">
        <f>IF(INDEX(E_budgeted!$B$3:$G$13,MATCH($A173,E_budgeted!$A$3:$A$13,0),MATCH($A$121,E_budgeted!$B$2:$G$2,0))&gt;0,MIN('Mkuze-Mtamvuna CMA'!I93,E_budgeted!I221),'Mkuze-Mtamvuna CMA'!I93)</f>
        <v>0</v>
      </c>
      <c r="J173" s="32">
        <f>IF(INDEX(E_budgeted!$B$3:$G$13,MATCH($A173,E_budgeted!$A$3:$A$13,0),MATCH($A$121,E_budgeted!$B$2:$G$2,0))&gt;0,MIN('Mkuze-Mtamvuna CMA'!J93,E_budgeted!J221),'Mkuze-Mtamvuna CMA'!J93)</f>
        <v>0</v>
      </c>
      <c r="K173" s="32">
        <f>IF(INDEX(E_budgeted!$B$3:$G$13,MATCH($A173,E_budgeted!$A$3:$A$13,0),MATCH($A$121,E_budgeted!$B$2:$G$2,0))&gt;0,MIN('Mkuze-Mtamvuna CMA'!K93,E_budgeted!K221),'Mkuze-Mtamvuna CMA'!K93)</f>
        <v>0</v>
      </c>
      <c r="L173" s="5">
        <f t="shared" si="114"/>
        <v>0</v>
      </c>
    </row>
    <row r="174" spans="1:12" x14ac:dyDescent="0.25">
      <c r="A174" s="4" t="s">
        <v>125</v>
      </c>
      <c r="B174" s="32">
        <f>IF(INDEX(E_budgeted!$B$3:$G$13,MATCH($A174,E_budgeted!$A$3:$A$13,0),MATCH($A$121,E_budgeted!$B$2:$G$2,0))&gt;0,MIN('Mkuze-Mtamvuna CMA'!B94,E_budgeted!B222),'Mkuze-Mtamvuna CMA'!B94)</f>
        <v>629411.88406267401</v>
      </c>
      <c r="C174" s="32">
        <f>IF(INDEX(E_budgeted!$B$3:$G$13,MATCH($A174,E_budgeted!$A$3:$A$13,0),MATCH($A$121,E_budgeted!$B$2:$G$2,0))&gt;0,MIN('Mkuze-Mtamvuna CMA'!C94,E_budgeted!C222),'Mkuze-Mtamvuna CMA'!C94)</f>
        <v>629411.88406267401</v>
      </c>
      <c r="D174" s="32">
        <f>IF(INDEX(E_budgeted!$B$3:$G$13,MATCH($A174,E_budgeted!$A$3:$A$13,0),MATCH($A$121,E_budgeted!$B$2:$G$2,0))&gt;0,MIN('Mkuze-Mtamvuna CMA'!D94,E_budgeted!D222),'Mkuze-Mtamvuna CMA'!D94)</f>
        <v>629411.88406267401</v>
      </c>
      <c r="E174" s="32">
        <f>IF(INDEX(E_budgeted!$B$3:$G$13,MATCH($A174,E_budgeted!$A$3:$A$13,0),MATCH($A$121,E_budgeted!$B$2:$G$2,0))&gt;0,MIN('Mkuze-Mtamvuna CMA'!E94,E_budgeted!E222),'Mkuze-Mtamvuna CMA'!E94)</f>
        <v>629411.88406267401</v>
      </c>
      <c r="F174" s="32">
        <f>IF(INDEX(E_budgeted!$B$3:$G$13,MATCH($A174,E_budgeted!$A$3:$A$13,0),MATCH($A$121,E_budgeted!$B$2:$G$2,0))&gt;0,MIN('Mkuze-Mtamvuna CMA'!F94,E_budgeted!F222),'Mkuze-Mtamvuna CMA'!F94)</f>
        <v>629411.88406267401</v>
      </c>
      <c r="G174" s="32">
        <f>IF(INDEX(E_budgeted!$B$3:$G$13,MATCH($A174,E_budgeted!$A$3:$A$13,0),MATCH($A$121,E_budgeted!$B$2:$G$2,0))&gt;0,MIN('Mkuze-Mtamvuna CMA'!G94,E_budgeted!G222),'Mkuze-Mtamvuna CMA'!G94)</f>
        <v>629411.88406267401</v>
      </c>
      <c r="H174" s="32">
        <f>IF(INDEX(E_budgeted!$B$3:$G$13,MATCH($A174,E_budgeted!$A$3:$A$13,0),MATCH($A$121,E_budgeted!$B$2:$G$2,0))&gt;0,MIN('Mkuze-Mtamvuna CMA'!H94,E_budgeted!H222),'Mkuze-Mtamvuna CMA'!H94)</f>
        <v>629411.88406267401</v>
      </c>
      <c r="I174" s="32">
        <f>IF(INDEX(E_budgeted!$B$3:$G$13,MATCH($A174,E_budgeted!$A$3:$A$13,0),MATCH($A$121,E_budgeted!$B$2:$G$2,0))&gt;0,MIN('Mkuze-Mtamvuna CMA'!I94,E_budgeted!I222),'Mkuze-Mtamvuna CMA'!I94)</f>
        <v>629411.88406267401</v>
      </c>
      <c r="J174" s="32">
        <f>IF(INDEX(E_budgeted!$B$3:$G$13,MATCH($A174,E_budgeted!$A$3:$A$13,0),MATCH($A$121,E_budgeted!$B$2:$G$2,0))&gt;0,MIN('Mkuze-Mtamvuna CMA'!J94,E_budgeted!J222),'Mkuze-Mtamvuna CMA'!J94)</f>
        <v>629411.88406267401</v>
      </c>
      <c r="K174" s="32">
        <f>IF(INDEX(E_budgeted!$B$3:$G$13,MATCH($A174,E_budgeted!$A$3:$A$13,0),MATCH($A$121,E_budgeted!$B$2:$G$2,0))&gt;0,MIN('Mkuze-Mtamvuna CMA'!K94,E_budgeted!K222),'Mkuze-Mtamvuna CMA'!K94)</f>
        <v>629411.88406267401</v>
      </c>
      <c r="L174" s="5">
        <f t="shared" si="114"/>
        <v>629411.88406267401</v>
      </c>
    </row>
    <row r="175" spans="1:12" x14ac:dyDescent="0.25">
      <c r="A175" s="4" t="s">
        <v>37</v>
      </c>
      <c r="B175" s="32">
        <f>IF(INDEX(E_budgeted!$B$3:$G$13,MATCH($A175,E_budgeted!$A$3:$A$13,0),MATCH($A$121,E_budgeted!$B$2:$G$2,0))&gt;0,MIN('Mkuze-Mtamvuna CMA'!B95,E_budgeted!B223),'Mkuze-Mtamvuna CMA'!B95)</f>
        <v>13861726.292273715</v>
      </c>
      <c r="C175" s="32">
        <f>IF(INDEX(E_budgeted!$B$3:$G$13,MATCH($A175,E_budgeted!$A$3:$A$13,0),MATCH($A$121,E_budgeted!$B$2:$G$2,0))&gt;0,MIN('Mkuze-Mtamvuna CMA'!C95,E_budgeted!C223),'Mkuze-Mtamvuna CMA'!C95)</f>
        <v>13861726.292273715</v>
      </c>
      <c r="D175" s="32">
        <f>IF(INDEX(E_budgeted!$B$3:$G$13,MATCH($A175,E_budgeted!$A$3:$A$13,0),MATCH($A$121,E_budgeted!$B$2:$G$2,0))&gt;0,MIN('Mkuze-Mtamvuna CMA'!D95,E_budgeted!D223),'Mkuze-Mtamvuna CMA'!D95)</f>
        <v>13861726.292273715</v>
      </c>
      <c r="E175" s="32">
        <f>IF(INDEX(E_budgeted!$B$3:$G$13,MATCH($A175,E_budgeted!$A$3:$A$13,0),MATCH($A$121,E_budgeted!$B$2:$G$2,0))&gt;0,MIN('Mkuze-Mtamvuna CMA'!E95,E_budgeted!E223),'Mkuze-Mtamvuna CMA'!E95)</f>
        <v>13861726.292273715</v>
      </c>
      <c r="F175" s="32">
        <f>IF(INDEX(E_budgeted!$B$3:$G$13,MATCH($A175,E_budgeted!$A$3:$A$13,0),MATCH($A$121,E_budgeted!$B$2:$G$2,0))&gt;0,MIN('Mkuze-Mtamvuna CMA'!F95,E_budgeted!F223),'Mkuze-Mtamvuna CMA'!F95)</f>
        <v>13861726.292273715</v>
      </c>
      <c r="G175" s="32">
        <f>IF(INDEX(E_budgeted!$B$3:$G$13,MATCH($A175,E_budgeted!$A$3:$A$13,0),MATCH($A$121,E_budgeted!$B$2:$G$2,0))&gt;0,MIN('Mkuze-Mtamvuna CMA'!G95,E_budgeted!G223),'Mkuze-Mtamvuna CMA'!G95)</f>
        <v>13861726.292273715</v>
      </c>
      <c r="H175" s="32">
        <f>IF(INDEX(E_budgeted!$B$3:$G$13,MATCH($A175,E_budgeted!$A$3:$A$13,0),MATCH($A$121,E_budgeted!$B$2:$G$2,0))&gt;0,MIN('Mkuze-Mtamvuna CMA'!H95,E_budgeted!H223),'Mkuze-Mtamvuna CMA'!H95)</f>
        <v>13861726.292273715</v>
      </c>
      <c r="I175" s="32">
        <f>IF(INDEX(E_budgeted!$B$3:$G$13,MATCH($A175,E_budgeted!$A$3:$A$13,0),MATCH($A$121,E_budgeted!$B$2:$G$2,0))&gt;0,MIN('Mkuze-Mtamvuna CMA'!I95,E_budgeted!I223),'Mkuze-Mtamvuna CMA'!I95)</f>
        <v>13861726.292273715</v>
      </c>
      <c r="J175" s="32">
        <f>IF(INDEX(E_budgeted!$B$3:$G$13,MATCH($A175,E_budgeted!$A$3:$A$13,0),MATCH($A$121,E_budgeted!$B$2:$G$2,0))&gt;0,MIN('Mkuze-Mtamvuna CMA'!J95,E_budgeted!J223),'Mkuze-Mtamvuna CMA'!J95)</f>
        <v>13861726.292273715</v>
      </c>
      <c r="K175" s="32">
        <f>IF(INDEX(E_budgeted!$B$3:$G$13,MATCH($A175,E_budgeted!$A$3:$A$13,0),MATCH($A$121,E_budgeted!$B$2:$G$2,0))&gt;0,MIN('Mkuze-Mtamvuna CMA'!K95,E_budgeted!K223),'Mkuze-Mtamvuna CMA'!K95)</f>
        <v>13861726.292273715</v>
      </c>
      <c r="L175" s="5">
        <f t="shared" si="114"/>
        <v>13861726.292273715</v>
      </c>
    </row>
    <row r="176" spans="1:12" x14ac:dyDescent="0.25">
      <c r="A176" s="4" t="s">
        <v>38</v>
      </c>
      <c r="B176" s="32">
        <f>IF(INDEX(E_budgeted!$B$3:$G$13,MATCH($A176,E_budgeted!$A$3:$A$13,0),MATCH($A$121,E_budgeted!$B$2:$G$2,0))&gt;0,MIN('Mkuze-Mtamvuna CMA'!B96,E_budgeted!B224),'Mkuze-Mtamvuna CMA'!B96)</f>
        <v>50069.722499999996</v>
      </c>
      <c r="C176" s="32">
        <f>IF(INDEX(E_budgeted!$B$3:$G$13,MATCH($A176,E_budgeted!$A$3:$A$13,0),MATCH($A$121,E_budgeted!$B$2:$G$2,0))&gt;0,MIN('Mkuze-Mtamvuna CMA'!C96,E_budgeted!C224),'Mkuze-Mtamvuna CMA'!C96)</f>
        <v>50069.722499999996</v>
      </c>
      <c r="D176" s="32">
        <f>IF(INDEX(E_budgeted!$B$3:$G$13,MATCH($A176,E_budgeted!$A$3:$A$13,0),MATCH($A$121,E_budgeted!$B$2:$G$2,0))&gt;0,MIN('Mkuze-Mtamvuna CMA'!D96,E_budgeted!D224),'Mkuze-Mtamvuna CMA'!D96)</f>
        <v>50069.722499999996</v>
      </c>
      <c r="E176" s="32">
        <f>IF(INDEX(E_budgeted!$B$3:$G$13,MATCH($A176,E_budgeted!$A$3:$A$13,0),MATCH($A$121,E_budgeted!$B$2:$G$2,0))&gt;0,MIN('Mkuze-Mtamvuna CMA'!E96,E_budgeted!E224),'Mkuze-Mtamvuna CMA'!E96)</f>
        <v>50069.722499999996</v>
      </c>
      <c r="F176" s="32">
        <f>IF(INDEX(E_budgeted!$B$3:$G$13,MATCH($A176,E_budgeted!$A$3:$A$13,0),MATCH($A$121,E_budgeted!$B$2:$G$2,0))&gt;0,MIN('Mkuze-Mtamvuna CMA'!F96,E_budgeted!F224),'Mkuze-Mtamvuna CMA'!F96)</f>
        <v>50069.722499999996</v>
      </c>
      <c r="G176" s="32">
        <f>IF(INDEX(E_budgeted!$B$3:$G$13,MATCH($A176,E_budgeted!$A$3:$A$13,0),MATCH($A$121,E_budgeted!$B$2:$G$2,0))&gt;0,MIN('Mkuze-Mtamvuna CMA'!G96,E_budgeted!G224),'Mkuze-Mtamvuna CMA'!G96)</f>
        <v>50069.722499999996</v>
      </c>
      <c r="H176" s="32">
        <f>IF(INDEX(E_budgeted!$B$3:$G$13,MATCH($A176,E_budgeted!$A$3:$A$13,0),MATCH($A$121,E_budgeted!$B$2:$G$2,0))&gt;0,MIN('Mkuze-Mtamvuna CMA'!H96,E_budgeted!H224),'Mkuze-Mtamvuna CMA'!H96)</f>
        <v>50069.722499999996</v>
      </c>
      <c r="I176" s="32">
        <f>IF(INDEX(E_budgeted!$B$3:$G$13,MATCH($A176,E_budgeted!$A$3:$A$13,0),MATCH($A$121,E_budgeted!$B$2:$G$2,0))&gt;0,MIN('Mkuze-Mtamvuna CMA'!I96,E_budgeted!I224),'Mkuze-Mtamvuna CMA'!I96)</f>
        <v>50069.722499999996</v>
      </c>
      <c r="J176" s="32">
        <f>IF(INDEX(E_budgeted!$B$3:$G$13,MATCH($A176,E_budgeted!$A$3:$A$13,0),MATCH($A$121,E_budgeted!$B$2:$G$2,0))&gt;0,MIN('Mkuze-Mtamvuna CMA'!J96,E_budgeted!J224),'Mkuze-Mtamvuna CMA'!J96)</f>
        <v>50069.722499999996</v>
      </c>
      <c r="K176" s="32">
        <f>IF(INDEX(E_budgeted!$B$3:$G$13,MATCH($A176,E_budgeted!$A$3:$A$13,0),MATCH($A$121,E_budgeted!$B$2:$G$2,0))&gt;0,MIN('Mkuze-Mtamvuna CMA'!K96,E_budgeted!K224),'Mkuze-Mtamvuna CMA'!K96)</f>
        <v>50069.722499999996</v>
      </c>
      <c r="L176" s="5">
        <f t="shared" si="114"/>
        <v>50069.722499999989</v>
      </c>
    </row>
    <row r="177" spans="1:12" x14ac:dyDescent="0.25">
      <c r="A177" s="4" t="s">
        <v>15</v>
      </c>
      <c r="B177" s="13">
        <f>IF(INDEX(E_budgeted!$B$3:$G$13,MATCH($A177,E_budgeted!$A$3:$A$13,0),MATCH($A$121,E_budgeted!$B$2:$G$2,0))&gt;0,MIN('Mkuze-Mtamvuna CMA'!B97,E_budgeted!B225),'Mkuze-Mtamvuna CMA'!B97)</f>
        <v>5203477.9337499989</v>
      </c>
      <c r="C177" s="13">
        <f>IF(INDEX(E_budgeted!$B$3:$G$13,MATCH($A177,E_budgeted!$A$3:$A$13,0),MATCH($A$121,E_budgeted!$B$2:$G$2,0))&gt;0,MIN('Mkuze-Mtamvuna CMA'!C97,E_budgeted!C225),'Mkuze-Mtamvuna CMA'!C97)</f>
        <v>5203477.9337499989</v>
      </c>
      <c r="D177" s="13">
        <f>IF(INDEX(E_budgeted!$B$3:$G$13,MATCH($A177,E_budgeted!$A$3:$A$13,0),MATCH($A$121,E_budgeted!$B$2:$G$2,0))&gt;0,MIN('Mkuze-Mtamvuna CMA'!D97,E_budgeted!D225),'Mkuze-Mtamvuna CMA'!D97)</f>
        <v>5203477.9337499989</v>
      </c>
      <c r="E177" s="13">
        <f>IF(INDEX(E_budgeted!$B$3:$G$13,MATCH($A177,E_budgeted!$A$3:$A$13,0),MATCH($A$121,E_budgeted!$B$2:$G$2,0))&gt;0,MIN('Mkuze-Mtamvuna CMA'!E97,E_budgeted!E225),'Mkuze-Mtamvuna CMA'!E97)</f>
        <v>5203477.9337499989</v>
      </c>
      <c r="F177" s="13">
        <f>IF(INDEX(E_budgeted!$B$3:$G$13,MATCH($A177,E_budgeted!$A$3:$A$13,0),MATCH($A$121,E_budgeted!$B$2:$G$2,0))&gt;0,MIN('Mkuze-Mtamvuna CMA'!F97,E_budgeted!F225),'Mkuze-Mtamvuna CMA'!F97)</f>
        <v>5203477.9337499989</v>
      </c>
      <c r="G177" s="13">
        <f>IF(INDEX(E_budgeted!$B$3:$G$13,MATCH($A177,E_budgeted!$A$3:$A$13,0),MATCH($A$121,E_budgeted!$B$2:$G$2,0))&gt;0,MIN('Mkuze-Mtamvuna CMA'!G97,E_budgeted!G225),'Mkuze-Mtamvuna CMA'!G97)</f>
        <v>5203477.9337499989</v>
      </c>
      <c r="H177" s="13">
        <f>IF(INDEX(E_budgeted!$B$3:$G$13,MATCH($A177,E_budgeted!$A$3:$A$13,0),MATCH($A$121,E_budgeted!$B$2:$G$2,0))&gt;0,MIN('Mkuze-Mtamvuna CMA'!H97,E_budgeted!H225),'Mkuze-Mtamvuna CMA'!H97)</f>
        <v>5203477.9337499989</v>
      </c>
      <c r="I177" s="13">
        <f>IF(INDEX(E_budgeted!$B$3:$G$13,MATCH($A177,E_budgeted!$A$3:$A$13,0),MATCH($A$121,E_budgeted!$B$2:$G$2,0))&gt;0,MIN('Mkuze-Mtamvuna CMA'!I97,E_budgeted!I225),'Mkuze-Mtamvuna CMA'!I97)</f>
        <v>5203477.9337499989</v>
      </c>
      <c r="J177" s="13">
        <f>IF(INDEX(E_budgeted!$B$3:$G$13,MATCH($A177,E_budgeted!$A$3:$A$13,0),MATCH($A$121,E_budgeted!$B$2:$G$2,0))&gt;0,MIN('Mkuze-Mtamvuna CMA'!J97,E_budgeted!J225),'Mkuze-Mtamvuna CMA'!J97)</f>
        <v>5203477.9337499989</v>
      </c>
      <c r="K177" s="13">
        <f>IF(INDEX(E_budgeted!$B$3:$G$13,MATCH($A177,E_budgeted!$A$3:$A$13,0),MATCH($A$121,E_budgeted!$B$2:$G$2,0))&gt;0,MIN('Mkuze-Mtamvuna CMA'!K97,E_budgeted!K225),'Mkuze-Mtamvuna CMA'!K97)</f>
        <v>5203477.9337499989</v>
      </c>
      <c r="L177" s="5">
        <f t="shared" si="114"/>
        <v>5203477.933749998</v>
      </c>
    </row>
    <row r="178" spans="1:12" x14ac:dyDescent="0.25">
      <c r="B178" s="5">
        <f>SUM(B167:B177)</f>
        <v>28178288.103495166</v>
      </c>
      <c r="C178" s="5">
        <f t="shared" ref="C178:K178" si="115">SUM(C167:C177)</f>
        <v>28178288.103495166</v>
      </c>
      <c r="D178" s="5">
        <f t="shared" si="115"/>
        <v>28178288.103495166</v>
      </c>
      <c r="E178" s="5">
        <f t="shared" si="115"/>
        <v>28178288.103495166</v>
      </c>
      <c r="F178" s="5">
        <f t="shared" si="115"/>
        <v>28178288.103495166</v>
      </c>
      <c r="G178" s="5">
        <f t="shared" si="115"/>
        <v>28178288.103495166</v>
      </c>
      <c r="H178" s="5">
        <f t="shared" si="115"/>
        <v>28178288.103495166</v>
      </c>
      <c r="I178" s="5">
        <f t="shared" si="115"/>
        <v>28178288.103495166</v>
      </c>
      <c r="J178" s="5">
        <f t="shared" si="115"/>
        <v>28178288.103495166</v>
      </c>
      <c r="K178" s="5">
        <f t="shared" si="115"/>
        <v>28178288.103495166</v>
      </c>
      <c r="L178" s="5"/>
    </row>
    <row r="179" spans="1:12" x14ac:dyDescent="0.25">
      <c r="B179" s="16">
        <f>B178/$B$135</f>
        <v>0.32598446370439982</v>
      </c>
    </row>
    <row r="180" spans="1:12" s="3" customFormat="1" x14ac:dyDescent="0.25">
      <c r="A180" s="2" t="s">
        <v>33</v>
      </c>
    </row>
    <row r="182" spans="1:12" x14ac:dyDescent="0.25">
      <c r="A182" s="1" t="s">
        <v>60</v>
      </c>
      <c r="B182" s="12" t="str">
        <f>'Summary dashboard'!C4</f>
        <v>2023</v>
      </c>
      <c r="C182" s="12">
        <f t="shared" ref="C182" si="116">B182+1</f>
        <v>2024</v>
      </c>
      <c r="D182" s="12">
        <f t="shared" ref="D182" si="117">C182+1</f>
        <v>2025</v>
      </c>
      <c r="E182" s="12">
        <f t="shared" ref="E182" si="118">D182+1</f>
        <v>2026</v>
      </c>
      <c r="F182" s="12">
        <f t="shared" ref="F182" si="119">E182+1</f>
        <v>2027</v>
      </c>
      <c r="G182" s="12">
        <f t="shared" ref="G182" si="120">F182+1</f>
        <v>2028</v>
      </c>
      <c r="H182" s="12">
        <f t="shared" ref="H182" si="121">G182+1</f>
        <v>2029</v>
      </c>
      <c r="I182" s="12">
        <f t="shared" ref="I182" si="122">H182+1</f>
        <v>2030</v>
      </c>
      <c r="J182" s="12">
        <f t="shared" ref="J182" si="123">I182+1</f>
        <v>2031</v>
      </c>
      <c r="K182" s="12">
        <f t="shared" ref="K182" si="124">J182+1</f>
        <v>2032</v>
      </c>
      <c r="L182" s="1" t="s">
        <v>28</v>
      </c>
    </row>
    <row r="183" spans="1:12" x14ac:dyDescent="0.25">
      <c r="A183" s="4" t="s">
        <v>35</v>
      </c>
      <c r="B183" s="32">
        <f>IF(INDEX(E_budgeted!$B$3:$G$13,MATCH($A183,E_budgeted!$A$3:$A$13,0),MATCH($A$180,E_budgeted!$B$2:$G$2,0))&gt;0,MIN('Vaal-Orange CMA'!B44,E_budgeted!B243),'Vaal-Orange CMA'!B44)</f>
        <v>9632104.7785999998</v>
      </c>
      <c r="C183" s="32">
        <f>IF(INDEX(E_budgeted!$B$3:$G$13,MATCH($A183,E_budgeted!$A$3:$A$13,0),MATCH($A$180,E_budgeted!$B$2:$G$2,0))&gt;0,MIN('Vaal-Orange CMA'!C44,E_budgeted!C243),'Vaal-Orange CMA'!C44)</f>
        <v>9632104.7785999998</v>
      </c>
      <c r="D183" s="32">
        <f>IF(INDEX(E_budgeted!$B$3:$G$13,MATCH($A183,E_budgeted!$A$3:$A$13,0),MATCH($A$180,E_budgeted!$B$2:$G$2,0))&gt;0,MIN('Vaal-Orange CMA'!D44,E_budgeted!D243),'Vaal-Orange CMA'!D44)</f>
        <v>9632104.7785999998</v>
      </c>
      <c r="E183" s="32">
        <f>IF(INDEX(E_budgeted!$B$3:$G$13,MATCH($A183,E_budgeted!$A$3:$A$13,0),MATCH($A$180,E_budgeted!$B$2:$G$2,0))&gt;0,MIN('Vaal-Orange CMA'!E44,E_budgeted!E243),'Vaal-Orange CMA'!E44)</f>
        <v>9632104.7785999998</v>
      </c>
      <c r="F183" s="32">
        <f>IF(INDEX(E_budgeted!$B$3:$G$13,MATCH($A183,E_budgeted!$A$3:$A$13,0),MATCH($A$180,E_budgeted!$B$2:$G$2,0))&gt;0,MIN('Vaal-Orange CMA'!F44,E_budgeted!F243),'Vaal-Orange CMA'!F44)</f>
        <v>9632104.7785999998</v>
      </c>
      <c r="G183" s="32">
        <f>IF(INDEX(E_budgeted!$B$3:$G$13,MATCH($A183,E_budgeted!$A$3:$A$13,0),MATCH($A$180,E_budgeted!$B$2:$G$2,0))&gt;0,MIN('Vaal-Orange CMA'!G44,E_budgeted!G243),'Vaal-Orange CMA'!G44)</f>
        <v>9632104.7785999998</v>
      </c>
      <c r="H183" s="32">
        <f>IF(INDEX(E_budgeted!$B$3:$G$13,MATCH($A183,E_budgeted!$A$3:$A$13,0),MATCH($A$180,E_budgeted!$B$2:$G$2,0))&gt;0,MIN('Vaal-Orange CMA'!H44,E_budgeted!H243),'Vaal-Orange CMA'!H44)</f>
        <v>9632104.7785999998</v>
      </c>
      <c r="I183" s="32">
        <f>IF(INDEX(E_budgeted!$B$3:$G$13,MATCH($A183,E_budgeted!$A$3:$A$13,0),MATCH($A$180,E_budgeted!$B$2:$G$2,0))&gt;0,MIN('Vaal-Orange CMA'!I44,E_budgeted!I243),'Vaal-Orange CMA'!I44)</f>
        <v>9632104.7785999998</v>
      </c>
      <c r="J183" s="32">
        <f>IF(INDEX(E_budgeted!$B$3:$G$13,MATCH($A183,E_budgeted!$A$3:$A$13,0),MATCH($A$180,E_budgeted!$B$2:$G$2,0))&gt;0,MIN('Vaal-Orange CMA'!J44,E_budgeted!J243),'Vaal-Orange CMA'!J44)</f>
        <v>9632104.7785999998</v>
      </c>
      <c r="K183" s="32">
        <f>IF(INDEX(E_budgeted!$B$3:$G$13,MATCH($A183,E_budgeted!$A$3:$A$13,0),MATCH($A$180,E_budgeted!$B$2:$G$2,0))&gt;0,MIN('Vaal-Orange CMA'!K44,E_budgeted!K243),'Vaal-Orange CMA'!K44)</f>
        <v>9632104.7785999998</v>
      </c>
      <c r="L183" s="5">
        <f t="shared" ref="L183:L193" si="125">AVERAGE(B183:K183)</f>
        <v>9632104.7786000017</v>
      </c>
    </row>
    <row r="184" spans="1:12" x14ac:dyDescent="0.25">
      <c r="A184" s="4" t="s">
        <v>36</v>
      </c>
      <c r="B184" s="32">
        <f>IF(INDEX(E_budgeted!$B$3:$G$13,MATCH($A184,E_budgeted!$A$3:$A$13,0),MATCH($A$180,E_budgeted!$B$2:$G$2,0))&gt;0,MIN('Vaal-Orange CMA'!B45,E_budgeted!B244),'Vaal-Orange CMA'!B45)</f>
        <v>9196844.3790000007</v>
      </c>
      <c r="C184" s="32">
        <f>IF(INDEX(E_budgeted!$B$3:$G$13,MATCH($A184,E_budgeted!$A$3:$A$13,0),MATCH($A$180,E_budgeted!$B$2:$G$2,0))&gt;0,MIN('Vaal-Orange CMA'!C45,E_budgeted!C244),'Vaal-Orange CMA'!C45)</f>
        <v>9196844.3790000007</v>
      </c>
      <c r="D184" s="32">
        <f>IF(INDEX(E_budgeted!$B$3:$G$13,MATCH($A184,E_budgeted!$A$3:$A$13,0),MATCH($A$180,E_budgeted!$B$2:$G$2,0))&gt;0,MIN('Vaal-Orange CMA'!D45,E_budgeted!D244),'Vaal-Orange CMA'!D45)</f>
        <v>9196844.3790000007</v>
      </c>
      <c r="E184" s="32">
        <f>IF(INDEX(E_budgeted!$B$3:$G$13,MATCH($A184,E_budgeted!$A$3:$A$13,0),MATCH($A$180,E_budgeted!$B$2:$G$2,0))&gt;0,MIN('Vaal-Orange CMA'!E45,E_budgeted!E244),'Vaal-Orange CMA'!E45)</f>
        <v>9196844.3790000007</v>
      </c>
      <c r="F184" s="32">
        <f>IF(INDEX(E_budgeted!$B$3:$G$13,MATCH($A184,E_budgeted!$A$3:$A$13,0),MATCH($A$180,E_budgeted!$B$2:$G$2,0))&gt;0,MIN('Vaal-Orange CMA'!F45,E_budgeted!F244),'Vaal-Orange CMA'!F45)</f>
        <v>9196844.3790000007</v>
      </c>
      <c r="G184" s="32">
        <f>IF(INDEX(E_budgeted!$B$3:$G$13,MATCH($A184,E_budgeted!$A$3:$A$13,0),MATCH($A$180,E_budgeted!$B$2:$G$2,0))&gt;0,MIN('Vaal-Orange CMA'!G45,E_budgeted!G244),'Vaal-Orange CMA'!G45)</f>
        <v>9196844.3790000007</v>
      </c>
      <c r="H184" s="32">
        <f>IF(INDEX(E_budgeted!$B$3:$G$13,MATCH($A184,E_budgeted!$A$3:$A$13,0),MATCH($A$180,E_budgeted!$B$2:$G$2,0))&gt;0,MIN('Vaal-Orange CMA'!H45,E_budgeted!H244),'Vaal-Orange CMA'!H45)</f>
        <v>9196844.3790000007</v>
      </c>
      <c r="I184" s="32">
        <f>IF(INDEX(E_budgeted!$B$3:$G$13,MATCH($A184,E_budgeted!$A$3:$A$13,0),MATCH($A$180,E_budgeted!$B$2:$G$2,0))&gt;0,MIN('Vaal-Orange CMA'!I45,E_budgeted!I244),'Vaal-Orange CMA'!I45)</f>
        <v>9196844.3790000007</v>
      </c>
      <c r="J184" s="32">
        <f>IF(INDEX(E_budgeted!$B$3:$G$13,MATCH($A184,E_budgeted!$A$3:$A$13,0),MATCH($A$180,E_budgeted!$B$2:$G$2,0))&gt;0,MIN('Vaal-Orange CMA'!J45,E_budgeted!J244),'Vaal-Orange CMA'!J45)</f>
        <v>9196844.3790000007</v>
      </c>
      <c r="K184" s="32">
        <f>IF(INDEX(E_budgeted!$B$3:$G$13,MATCH($A184,E_budgeted!$A$3:$A$13,0),MATCH($A$180,E_budgeted!$B$2:$G$2,0))&gt;0,MIN('Vaal-Orange CMA'!K45,E_budgeted!K244),'Vaal-Orange CMA'!K45)</f>
        <v>9196844.3790000007</v>
      </c>
      <c r="L184" s="5">
        <f t="shared" si="125"/>
        <v>9196844.3790000025</v>
      </c>
    </row>
    <row r="185" spans="1:12" x14ac:dyDescent="0.25">
      <c r="A185" s="4" t="s">
        <v>11</v>
      </c>
      <c r="B185" s="32">
        <f>IF(INDEX(E_budgeted!$B$3:$G$13,MATCH($A185,E_budgeted!$A$3:$A$13,0),MATCH($A$180,E_budgeted!$B$2:$G$2,0))&gt;0,MIN('Vaal-Orange CMA'!B46,E_budgeted!B245),'Vaal-Orange CMA'!B46)</f>
        <v>0</v>
      </c>
      <c r="C185" s="32">
        <f>IF(INDEX(E_budgeted!$B$3:$G$13,MATCH($A185,E_budgeted!$A$3:$A$13,0),MATCH($A$180,E_budgeted!$B$2:$G$2,0))&gt;0,MIN('Vaal-Orange CMA'!C46,E_budgeted!C245),'Vaal-Orange CMA'!C46)</f>
        <v>0</v>
      </c>
      <c r="D185" s="32">
        <f>IF(INDEX(E_budgeted!$B$3:$G$13,MATCH($A185,E_budgeted!$A$3:$A$13,0),MATCH($A$180,E_budgeted!$B$2:$G$2,0))&gt;0,MIN('Vaal-Orange CMA'!D46,E_budgeted!D245),'Vaal-Orange CMA'!D46)</f>
        <v>0</v>
      </c>
      <c r="E185" s="32">
        <f>IF(INDEX(E_budgeted!$B$3:$G$13,MATCH($A185,E_budgeted!$A$3:$A$13,0),MATCH($A$180,E_budgeted!$B$2:$G$2,0))&gt;0,MIN('Vaal-Orange CMA'!E46,E_budgeted!E245),'Vaal-Orange CMA'!E46)</f>
        <v>0</v>
      </c>
      <c r="F185" s="32">
        <f>IF(INDEX(E_budgeted!$B$3:$G$13,MATCH($A185,E_budgeted!$A$3:$A$13,0),MATCH($A$180,E_budgeted!$B$2:$G$2,0))&gt;0,MIN('Vaal-Orange CMA'!F46,E_budgeted!F245),'Vaal-Orange CMA'!F46)</f>
        <v>0</v>
      </c>
      <c r="G185" s="32">
        <f>IF(INDEX(E_budgeted!$B$3:$G$13,MATCH($A185,E_budgeted!$A$3:$A$13,0),MATCH($A$180,E_budgeted!$B$2:$G$2,0))&gt;0,MIN('Vaal-Orange CMA'!G46,E_budgeted!G245),'Vaal-Orange CMA'!G46)</f>
        <v>0</v>
      </c>
      <c r="H185" s="32">
        <f>IF(INDEX(E_budgeted!$B$3:$G$13,MATCH($A185,E_budgeted!$A$3:$A$13,0),MATCH($A$180,E_budgeted!$B$2:$G$2,0))&gt;0,MIN('Vaal-Orange CMA'!H46,E_budgeted!H245),'Vaal-Orange CMA'!H46)</f>
        <v>0</v>
      </c>
      <c r="I185" s="32">
        <f>IF(INDEX(E_budgeted!$B$3:$G$13,MATCH($A185,E_budgeted!$A$3:$A$13,0),MATCH($A$180,E_budgeted!$B$2:$G$2,0))&gt;0,MIN('Vaal-Orange CMA'!I46,E_budgeted!I245),'Vaal-Orange CMA'!I46)</f>
        <v>0</v>
      </c>
      <c r="J185" s="32">
        <f>IF(INDEX(E_budgeted!$B$3:$G$13,MATCH($A185,E_budgeted!$A$3:$A$13,0),MATCH($A$180,E_budgeted!$B$2:$G$2,0))&gt;0,MIN('Vaal-Orange CMA'!J46,E_budgeted!J245),'Vaal-Orange CMA'!J46)</f>
        <v>0</v>
      </c>
      <c r="K185" s="32">
        <f>IF(INDEX(E_budgeted!$B$3:$G$13,MATCH($A185,E_budgeted!$A$3:$A$13,0),MATCH($A$180,E_budgeted!$B$2:$G$2,0))&gt;0,MIN('Vaal-Orange CMA'!K46,E_budgeted!K245),'Vaal-Orange CMA'!K46)</f>
        <v>0</v>
      </c>
      <c r="L185" s="5">
        <f t="shared" si="125"/>
        <v>0</v>
      </c>
    </row>
    <row r="186" spans="1:12" x14ac:dyDescent="0.25">
      <c r="A186" s="4" t="s">
        <v>124</v>
      </c>
      <c r="B186" s="32">
        <f>IF(INDEX(E_budgeted!$B$3:$G$13,MATCH($A186,E_budgeted!$A$3:$A$13,0),MATCH($A$180,E_budgeted!$B$2:$G$2,0))&gt;0,MIN('Vaal-Orange CMA'!B47,E_budgeted!B246),'Vaal-Orange CMA'!B47)</f>
        <v>6181489.4050000012</v>
      </c>
      <c r="C186" s="32">
        <f>IF(INDEX(E_budgeted!$B$3:$G$13,MATCH($A186,E_budgeted!$A$3:$A$13,0),MATCH($A$180,E_budgeted!$B$2:$G$2,0))&gt;0,MIN('Vaal-Orange CMA'!C47,E_budgeted!C246),'Vaal-Orange CMA'!C47)</f>
        <v>6181489.4050000012</v>
      </c>
      <c r="D186" s="32">
        <f>IF(INDEX(E_budgeted!$B$3:$G$13,MATCH($A186,E_budgeted!$A$3:$A$13,0),MATCH($A$180,E_budgeted!$B$2:$G$2,0))&gt;0,MIN('Vaal-Orange CMA'!D47,E_budgeted!D246),'Vaal-Orange CMA'!D47)</f>
        <v>6181489.4050000012</v>
      </c>
      <c r="E186" s="32">
        <f>IF(INDEX(E_budgeted!$B$3:$G$13,MATCH($A186,E_budgeted!$A$3:$A$13,0),MATCH($A$180,E_budgeted!$B$2:$G$2,0))&gt;0,MIN('Vaal-Orange CMA'!E47,E_budgeted!E246),'Vaal-Orange CMA'!E47)</f>
        <v>6181489.4050000012</v>
      </c>
      <c r="F186" s="32">
        <f>IF(INDEX(E_budgeted!$B$3:$G$13,MATCH($A186,E_budgeted!$A$3:$A$13,0),MATCH($A$180,E_budgeted!$B$2:$G$2,0))&gt;0,MIN('Vaal-Orange CMA'!F47,E_budgeted!F246),'Vaal-Orange CMA'!F47)</f>
        <v>6181489.4050000012</v>
      </c>
      <c r="G186" s="32">
        <f>IF(INDEX(E_budgeted!$B$3:$G$13,MATCH($A186,E_budgeted!$A$3:$A$13,0),MATCH($A$180,E_budgeted!$B$2:$G$2,0))&gt;0,MIN('Vaal-Orange CMA'!G47,E_budgeted!G246),'Vaal-Orange CMA'!G47)</f>
        <v>6181489.4050000012</v>
      </c>
      <c r="H186" s="32">
        <f>IF(INDEX(E_budgeted!$B$3:$G$13,MATCH($A186,E_budgeted!$A$3:$A$13,0),MATCH($A$180,E_budgeted!$B$2:$G$2,0))&gt;0,MIN('Vaal-Orange CMA'!H47,E_budgeted!H246),'Vaal-Orange CMA'!H47)</f>
        <v>6181489.4050000012</v>
      </c>
      <c r="I186" s="32">
        <f>IF(INDEX(E_budgeted!$B$3:$G$13,MATCH($A186,E_budgeted!$A$3:$A$13,0),MATCH($A$180,E_budgeted!$B$2:$G$2,0))&gt;0,MIN('Vaal-Orange CMA'!I47,E_budgeted!I246),'Vaal-Orange CMA'!I47)</f>
        <v>6181489.4050000012</v>
      </c>
      <c r="J186" s="32">
        <f>IF(INDEX(E_budgeted!$B$3:$G$13,MATCH($A186,E_budgeted!$A$3:$A$13,0),MATCH($A$180,E_budgeted!$B$2:$G$2,0))&gt;0,MIN('Vaal-Orange CMA'!J47,E_budgeted!J246),'Vaal-Orange CMA'!J47)</f>
        <v>6181489.4050000012</v>
      </c>
      <c r="K186" s="32">
        <f>IF(INDEX(E_budgeted!$B$3:$G$13,MATCH($A186,E_budgeted!$A$3:$A$13,0),MATCH($A$180,E_budgeted!$B$2:$G$2,0))&gt;0,MIN('Vaal-Orange CMA'!K47,E_budgeted!K246),'Vaal-Orange CMA'!K47)</f>
        <v>6181489.4050000012</v>
      </c>
      <c r="L186" s="5">
        <f t="shared" si="125"/>
        <v>6181489.4050000012</v>
      </c>
    </row>
    <row r="187" spans="1:12" x14ac:dyDescent="0.25">
      <c r="A187" s="4" t="s">
        <v>12</v>
      </c>
      <c r="B187" s="32">
        <f>IF(INDEX(E_budgeted!$B$3:$G$13,MATCH($A187,E_budgeted!$A$3:$A$13,0),MATCH($A$180,E_budgeted!$B$2:$G$2,0))&gt;0,MIN('Vaal-Orange CMA'!B48,E_budgeted!B247),'Vaal-Orange CMA'!B48)</f>
        <v>46339876.588466674</v>
      </c>
      <c r="C187" s="32">
        <f>IF(INDEX(E_budgeted!$B$3:$G$13,MATCH($A187,E_budgeted!$A$3:$A$13,0),MATCH($A$180,E_budgeted!$B$2:$G$2,0))&gt;0,MIN('Vaal-Orange CMA'!C48,E_budgeted!C247),'Vaal-Orange CMA'!C48)</f>
        <v>46339876.588466674</v>
      </c>
      <c r="D187" s="32">
        <f>IF(INDEX(E_budgeted!$B$3:$G$13,MATCH($A187,E_budgeted!$A$3:$A$13,0),MATCH($A$180,E_budgeted!$B$2:$G$2,0))&gt;0,MIN('Vaal-Orange CMA'!D48,E_budgeted!D247),'Vaal-Orange CMA'!D48)</f>
        <v>46339876.588466674</v>
      </c>
      <c r="E187" s="32">
        <f>IF(INDEX(E_budgeted!$B$3:$G$13,MATCH($A187,E_budgeted!$A$3:$A$13,0),MATCH($A$180,E_budgeted!$B$2:$G$2,0))&gt;0,MIN('Vaal-Orange CMA'!E48,E_budgeted!E247),'Vaal-Orange CMA'!E48)</f>
        <v>46339876.588466674</v>
      </c>
      <c r="F187" s="32">
        <f>IF(INDEX(E_budgeted!$B$3:$G$13,MATCH($A187,E_budgeted!$A$3:$A$13,0),MATCH($A$180,E_budgeted!$B$2:$G$2,0))&gt;0,MIN('Vaal-Orange CMA'!F48,E_budgeted!F247),'Vaal-Orange CMA'!F48)</f>
        <v>46339876.588466674</v>
      </c>
      <c r="G187" s="32">
        <f>IF(INDEX(E_budgeted!$B$3:$G$13,MATCH($A187,E_budgeted!$A$3:$A$13,0),MATCH($A$180,E_budgeted!$B$2:$G$2,0))&gt;0,MIN('Vaal-Orange CMA'!G48,E_budgeted!G247),'Vaal-Orange CMA'!G48)</f>
        <v>46339876.588466674</v>
      </c>
      <c r="H187" s="32">
        <f>IF(INDEX(E_budgeted!$B$3:$G$13,MATCH($A187,E_budgeted!$A$3:$A$13,0),MATCH($A$180,E_budgeted!$B$2:$G$2,0))&gt;0,MIN('Vaal-Orange CMA'!H48,E_budgeted!H247),'Vaal-Orange CMA'!H48)</f>
        <v>46339876.588466674</v>
      </c>
      <c r="I187" s="32">
        <f>IF(INDEX(E_budgeted!$B$3:$G$13,MATCH($A187,E_budgeted!$A$3:$A$13,0),MATCH($A$180,E_budgeted!$B$2:$G$2,0))&gt;0,MIN('Vaal-Orange CMA'!I48,E_budgeted!I247),'Vaal-Orange CMA'!I48)</f>
        <v>46339876.588466674</v>
      </c>
      <c r="J187" s="32">
        <f>IF(INDEX(E_budgeted!$B$3:$G$13,MATCH($A187,E_budgeted!$A$3:$A$13,0),MATCH($A$180,E_budgeted!$B$2:$G$2,0))&gt;0,MIN('Vaal-Orange CMA'!J48,E_budgeted!J247),'Vaal-Orange CMA'!J48)</f>
        <v>46339876.588466674</v>
      </c>
      <c r="K187" s="32">
        <f>IF(INDEX(E_budgeted!$B$3:$G$13,MATCH($A187,E_budgeted!$A$3:$A$13,0),MATCH($A$180,E_budgeted!$B$2:$G$2,0))&gt;0,MIN('Vaal-Orange CMA'!K48,E_budgeted!K247),'Vaal-Orange CMA'!K48)</f>
        <v>46339876.588466674</v>
      </c>
      <c r="L187" s="5">
        <f t="shared" si="125"/>
        <v>46339876.588466667</v>
      </c>
    </row>
    <row r="188" spans="1:12" x14ac:dyDescent="0.25">
      <c r="A188" s="4" t="s">
        <v>13</v>
      </c>
      <c r="B188" s="32">
        <f>IF(INDEX(E_budgeted!$B$3:$G$13,MATCH($A188,E_budgeted!$A$3:$A$13,0),MATCH($A$180,E_budgeted!$B$2:$G$2,0))&gt;0,MIN('Vaal-Orange CMA'!B49,E_budgeted!B248),'Vaal-Orange CMA'!B49)</f>
        <v>0</v>
      </c>
      <c r="C188" s="32">
        <f>IF(INDEX(E_budgeted!$B$3:$G$13,MATCH($A188,E_budgeted!$A$3:$A$13,0),MATCH($A$180,E_budgeted!$B$2:$G$2,0))&gt;0,MIN('Vaal-Orange CMA'!C49,E_budgeted!C248),'Vaal-Orange CMA'!C49)</f>
        <v>0</v>
      </c>
      <c r="D188" s="32">
        <f>IF(INDEX(E_budgeted!$B$3:$G$13,MATCH($A188,E_budgeted!$A$3:$A$13,0),MATCH($A$180,E_budgeted!$B$2:$G$2,0))&gt;0,MIN('Vaal-Orange CMA'!D49,E_budgeted!D248),'Vaal-Orange CMA'!D49)</f>
        <v>0</v>
      </c>
      <c r="E188" s="32">
        <f>IF(INDEX(E_budgeted!$B$3:$G$13,MATCH($A188,E_budgeted!$A$3:$A$13,0),MATCH($A$180,E_budgeted!$B$2:$G$2,0))&gt;0,MIN('Vaal-Orange CMA'!E49,E_budgeted!E248),'Vaal-Orange CMA'!E49)</f>
        <v>0</v>
      </c>
      <c r="F188" s="32">
        <f>IF(INDEX(E_budgeted!$B$3:$G$13,MATCH($A188,E_budgeted!$A$3:$A$13,0),MATCH($A$180,E_budgeted!$B$2:$G$2,0))&gt;0,MIN('Vaal-Orange CMA'!F49,E_budgeted!F248),'Vaal-Orange CMA'!F49)</f>
        <v>0</v>
      </c>
      <c r="G188" s="32">
        <f>IF(INDEX(E_budgeted!$B$3:$G$13,MATCH($A188,E_budgeted!$A$3:$A$13,0),MATCH($A$180,E_budgeted!$B$2:$G$2,0))&gt;0,MIN('Vaal-Orange CMA'!G49,E_budgeted!G248),'Vaal-Orange CMA'!G49)</f>
        <v>0</v>
      </c>
      <c r="H188" s="32">
        <f>IF(INDEX(E_budgeted!$B$3:$G$13,MATCH($A188,E_budgeted!$A$3:$A$13,0),MATCH($A$180,E_budgeted!$B$2:$G$2,0))&gt;0,MIN('Vaal-Orange CMA'!H49,E_budgeted!H248),'Vaal-Orange CMA'!H49)</f>
        <v>0</v>
      </c>
      <c r="I188" s="32">
        <f>IF(INDEX(E_budgeted!$B$3:$G$13,MATCH($A188,E_budgeted!$A$3:$A$13,0),MATCH($A$180,E_budgeted!$B$2:$G$2,0))&gt;0,MIN('Vaal-Orange CMA'!I49,E_budgeted!I248),'Vaal-Orange CMA'!I49)</f>
        <v>0</v>
      </c>
      <c r="J188" s="32">
        <f>IF(INDEX(E_budgeted!$B$3:$G$13,MATCH($A188,E_budgeted!$A$3:$A$13,0),MATCH($A$180,E_budgeted!$B$2:$G$2,0))&gt;0,MIN('Vaal-Orange CMA'!J49,E_budgeted!J248),'Vaal-Orange CMA'!J49)</f>
        <v>0</v>
      </c>
      <c r="K188" s="32">
        <f>IF(INDEX(E_budgeted!$B$3:$G$13,MATCH($A188,E_budgeted!$A$3:$A$13,0),MATCH($A$180,E_budgeted!$B$2:$G$2,0))&gt;0,MIN('Vaal-Orange CMA'!K49,E_budgeted!K248),'Vaal-Orange CMA'!K49)</f>
        <v>0</v>
      </c>
      <c r="L188" s="5">
        <f t="shared" si="125"/>
        <v>0</v>
      </c>
    </row>
    <row r="189" spans="1:12" x14ac:dyDescent="0.25">
      <c r="A189" s="4" t="s">
        <v>14</v>
      </c>
      <c r="B189" s="32">
        <f>IF(INDEX(E_budgeted!$B$3:$G$13,MATCH($A189,E_budgeted!$A$3:$A$13,0),MATCH($A$180,E_budgeted!$B$2:$G$2,0))&gt;0,MIN('Vaal-Orange CMA'!B50,E_budgeted!B249),'Vaal-Orange CMA'!B50)</f>
        <v>0</v>
      </c>
      <c r="C189" s="32">
        <f>IF(INDEX(E_budgeted!$B$3:$G$13,MATCH($A189,E_budgeted!$A$3:$A$13,0),MATCH($A$180,E_budgeted!$B$2:$G$2,0))&gt;0,MIN('Vaal-Orange CMA'!C50,E_budgeted!C249),'Vaal-Orange CMA'!C50)</f>
        <v>0</v>
      </c>
      <c r="D189" s="32">
        <f>IF(INDEX(E_budgeted!$B$3:$G$13,MATCH($A189,E_budgeted!$A$3:$A$13,0),MATCH($A$180,E_budgeted!$B$2:$G$2,0))&gt;0,MIN('Vaal-Orange CMA'!D50,E_budgeted!D249),'Vaal-Orange CMA'!D50)</f>
        <v>0</v>
      </c>
      <c r="E189" s="32">
        <f>IF(INDEX(E_budgeted!$B$3:$G$13,MATCH($A189,E_budgeted!$A$3:$A$13,0),MATCH($A$180,E_budgeted!$B$2:$G$2,0))&gt;0,MIN('Vaal-Orange CMA'!E50,E_budgeted!E249),'Vaal-Orange CMA'!E50)</f>
        <v>0</v>
      </c>
      <c r="F189" s="32">
        <f>IF(INDEX(E_budgeted!$B$3:$G$13,MATCH($A189,E_budgeted!$A$3:$A$13,0),MATCH($A$180,E_budgeted!$B$2:$G$2,0))&gt;0,MIN('Vaal-Orange CMA'!F50,E_budgeted!F249),'Vaal-Orange CMA'!F50)</f>
        <v>0</v>
      </c>
      <c r="G189" s="32">
        <f>IF(INDEX(E_budgeted!$B$3:$G$13,MATCH($A189,E_budgeted!$A$3:$A$13,0),MATCH($A$180,E_budgeted!$B$2:$G$2,0))&gt;0,MIN('Vaal-Orange CMA'!G50,E_budgeted!G249),'Vaal-Orange CMA'!G50)</f>
        <v>0</v>
      </c>
      <c r="H189" s="32">
        <f>IF(INDEX(E_budgeted!$B$3:$G$13,MATCH($A189,E_budgeted!$A$3:$A$13,0),MATCH($A$180,E_budgeted!$B$2:$G$2,0))&gt;0,MIN('Vaal-Orange CMA'!H50,E_budgeted!H249),'Vaal-Orange CMA'!H50)</f>
        <v>0</v>
      </c>
      <c r="I189" s="32">
        <f>IF(INDEX(E_budgeted!$B$3:$G$13,MATCH($A189,E_budgeted!$A$3:$A$13,0),MATCH($A$180,E_budgeted!$B$2:$G$2,0))&gt;0,MIN('Vaal-Orange CMA'!I50,E_budgeted!I249),'Vaal-Orange CMA'!I50)</f>
        <v>0</v>
      </c>
      <c r="J189" s="32">
        <f>IF(INDEX(E_budgeted!$B$3:$G$13,MATCH($A189,E_budgeted!$A$3:$A$13,0),MATCH($A$180,E_budgeted!$B$2:$G$2,0))&gt;0,MIN('Vaal-Orange CMA'!J50,E_budgeted!J249),'Vaal-Orange CMA'!J50)</f>
        <v>0</v>
      </c>
      <c r="K189" s="32">
        <f>IF(INDEX(E_budgeted!$B$3:$G$13,MATCH($A189,E_budgeted!$A$3:$A$13,0),MATCH($A$180,E_budgeted!$B$2:$G$2,0))&gt;0,MIN('Vaal-Orange CMA'!K50,E_budgeted!K249),'Vaal-Orange CMA'!K50)</f>
        <v>0</v>
      </c>
      <c r="L189" s="5">
        <f t="shared" si="125"/>
        <v>0</v>
      </c>
    </row>
    <row r="190" spans="1:12" x14ac:dyDescent="0.25">
      <c r="A190" s="4" t="s">
        <v>125</v>
      </c>
      <c r="B190" s="32">
        <f>IF(INDEX(E_budgeted!$B$3:$G$13,MATCH($A190,E_budgeted!$A$3:$A$13,0),MATCH($A$180,E_budgeted!$B$2:$G$2,0))&gt;0,MIN('Vaal-Orange CMA'!B51,E_budgeted!B250),'Vaal-Orange CMA'!B51)</f>
        <v>2765025.6891020043</v>
      </c>
      <c r="C190" s="32">
        <f>IF(INDEX(E_budgeted!$B$3:$G$13,MATCH($A190,E_budgeted!$A$3:$A$13,0),MATCH($A$180,E_budgeted!$B$2:$G$2,0))&gt;0,MIN('Vaal-Orange CMA'!C51,E_budgeted!C250),'Vaal-Orange CMA'!C51)</f>
        <v>2765025.6891020043</v>
      </c>
      <c r="D190" s="32">
        <f>IF(INDEX(E_budgeted!$B$3:$G$13,MATCH($A190,E_budgeted!$A$3:$A$13,0),MATCH($A$180,E_budgeted!$B$2:$G$2,0))&gt;0,MIN('Vaal-Orange CMA'!D51,E_budgeted!D250),'Vaal-Orange CMA'!D51)</f>
        <v>2765025.6891020043</v>
      </c>
      <c r="E190" s="32">
        <f>IF(INDEX(E_budgeted!$B$3:$G$13,MATCH($A190,E_budgeted!$A$3:$A$13,0),MATCH($A$180,E_budgeted!$B$2:$G$2,0))&gt;0,MIN('Vaal-Orange CMA'!E51,E_budgeted!E250),'Vaal-Orange CMA'!E51)</f>
        <v>2765025.6891020043</v>
      </c>
      <c r="F190" s="32">
        <f>IF(INDEX(E_budgeted!$B$3:$G$13,MATCH($A190,E_budgeted!$A$3:$A$13,0),MATCH($A$180,E_budgeted!$B$2:$G$2,0))&gt;0,MIN('Vaal-Orange CMA'!F51,E_budgeted!F250),'Vaal-Orange CMA'!F51)</f>
        <v>2765025.6891020043</v>
      </c>
      <c r="G190" s="32">
        <f>IF(INDEX(E_budgeted!$B$3:$G$13,MATCH($A190,E_budgeted!$A$3:$A$13,0),MATCH($A$180,E_budgeted!$B$2:$G$2,0))&gt;0,MIN('Vaal-Orange CMA'!G51,E_budgeted!G250),'Vaal-Orange CMA'!G51)</f>
        <v>2765025.6891020043</v>
      </c>
      <c r="H190" s="32">
        <f>IF(INDEX(E_budgeted!$B$3:$G$13,MATCH($A190,E_budgeted!$A$3:$A$13,0),MATCH($A$180,E_budgeted!$B$2:$G$2,0))&gt;0,MIN('Vaal-Orange CMA'!H51,E_budgeted!H250),'Vaal-Orange CMA'!H51)</f>
        <v>2765025.6891020043</v>
      </c>
      <c r="I190" s="32">
        <f>IF(INDEX(E_budgeted!$B$3:$G$13,MATCH($A190,E_budgeted!$A$3:$A$13,0),MATCH($A$180,E_budgeted!$B$2:$G$2,0))&gt;0,MIN('Vaal-Orange CMA'!I51,E_budgeted!I250),'Vaal-Orange CMA'!I51)</f>
        <v>2765025.6891020043</v>
      </c>
      <c r="J190" s="32">
        <f>IF(INDEX(E_budgeted!$B$3:$G$13,MATCH($A190,E_budgeted!$A$3:$A$13,0),MATCH($A$180,E_budgeted!$B$2:$G$2,0))&gt;0,MIN('Vaal-Orange CMA'!J51,E_budgeted!J250),'Vaal-Orange CMA'!J51)</f>
        <v>2765025.6891020043</v>
      </c>
      <c r="K190" s="32">
        <f>IF(INDEX(E_budgeted!$B$3:$G$13,MATCH($A190,E_budgeted!$A$3:$A$13,0),MATCH($A$180,E_budgeted!$B$2:$G$2,0))&gt;0,MIN('Vaal-Orange CMA'!K51,E_budgeted!K250),'Vaal-Orange CMA'!K51)</f>
        <v>2765025.6891020043</v>
      </c>
      <c r="L190" s="5">
        <f t="shared" si="125"/>
        <v>2765025.6891020047</v>
      </c>
    </row>
    <row r="191" spans="1:12" x14ac:dyDescent="0.25">
      <c r="A191" s="4" t="s">
        <v>37</v>
      </c>
      <c r="B191" s="32">
        <f>IF(INDEX(E_budgeted!$B$3:$G$13,MATCH($A191,E_budgeted!$A$3:$A$13,0),MATCH($A$180,E_budgeted!$B$2:$G$2,0))&gt;0,MIN('Vaal-Orange CMA'!B52,E_budgeted!B251),'Vaal-Orange CMA'!B52)</f>
        <v>37765910.174399994</v>
      </c>
      <c r="C191" s="32">
        <f>IF(INDEX(E_budgeted!$B$3:$G$13,MATCH($A191,E_budgeted!$A$3:$A$13,0),MATCH($A$180,E_budgeted!$B$2:$G$2,0))&gt;0,MIN('Vaal-Orange CMA'!C52,E_budgeted!C251),'Vaal-Orange CMA'!C52)</f>
        <v>37765910.174399994</v>
      </c>
      <c r="D191" s="32">
        <f>IF(INDEX(E_budgeted!$B$3:$G$13,MATCH($A191,E_budgeted!$A$3:$A$13,0),MATCH($A$180,E_budgeted!$B$2:$G$2,0))&gt;0,MIN('Vaal-Orange CMA'!D52,E_budgeted!D251),'Vaal-Orange CMA'!D52)</f>
        <v>37765910.174399994</v>
      </c>
      <c r="E191" s="32">
        <f>IF(INDEX(E_budgeted!$B$3:$G$13,MATCH($A191,E_budgeted!$A$3:$A$13,0),MATCH($A$180,E_budgeted!$B$2:$G$2,0))&gt;0,MIN('Vaal-Orange CMA'!E52,E_budgeted!E251),'Vaal-Orange CMA'!E52)</f>
        <v>37765910.174399994</v>
      </c>
      <c r="F191" s="32">
        <f>IF(INDEX(E_budgeted!$B$3:$G$13,MATCH($A191,E_budgeted!$A$3:$A$13,0),MATCH($A$180,E_budgeted!$B$2:$G$2,0))&gt;0,MIN('Vaal-Orange CMA'!F52,E_budgeted!F251),'Vaal-Orange CMA'!F52)</f>
        <v>37765910.174399994</v>
      </c>
      <c r="G191" s="32">
        <f>IF(INDEX(E_budgeted!$B$3:$G$13,MATCH($A191,E_budgeted!$A$3:$A$13,0),MATCH($A$180,E_budgeted!$B$2:$G$2,0))&gt;0,MIN('Vaal-Orange CMA'!G52,E_budgeted!G251),'Vaal-Orange CMA'!G52)</f>
        <v>37765910.174399994</v>
      </c>
      <c r="H191" s="32">
        <f>IF(INDEX(E_budgeted!$B$3:$G$13,MATCH($A191,E_budgeted!$A$3:$A$13,0),MATCH($A$180,E_budgeted!$B$2:$G$2,0))&gt;0,MIN('Vaal-Orange CMA'!H52,E_budgeted!H251),'Vaal-Orange CMA'!H52)</f>
        <v>37765910.174399994</v>
      </c>
      <c r="I191" s="32">
        <f>IF(INDEX(E_budgeted!$B$3:$G$13,MATCH($A191,E_budgeted!$A$3:$A$13,0),MATCH($A$180,E_budgeted!$B$2:$G$2,0))&gt;0,MIN('Vaal-Orange CMA'!I52,E_budgeted!I251),'Vaal-Orange CMA'!I52)</f>
        <v>37765910.174399994</v>
      </c>
      <c r="J191" s="32">
        <f>IF(INDEX(E_budgeted!$B$3:$G$13,MATCH($A191,E_budgeted!$A$3:$A$13,0),MATCH($A$180,E_budgeted!$B$2:$G$2,0))&gt;0,MIN('Vaal-Orange CMA'!J52,E_budgeted!J251),'Vaal-Orange CMA'!J52)</f>
        <v>37765910.174399994</v>
      </c>
      <c r="K191" s="32">
        <f>IF(INDEX(E_budgeted!$B$3:$G$13,MATCH($A191,E_budgeted!$A$3:$A$13,0),MATCH($A$180,E_budgeted!$B$2:$G$2,0))&gt;0,MIN('Vaal-Orange CMA'!K52,E_budgeted!K251),'Vaal-Orange CMA'!K52)</f>
        <v>37765910.174399994</v>
      </c>
      <c r="L191" s="5">
        <f t="shared" si="125"/>
        <v>37765910.174399987</v>
      </c>
    </row>
    <row r="192" spans="1:12" x14ac:dyDescent="0.25">
      <c r="A192" s="4" t="s">
        <v>38</v>
      </c>
      <c r="B192" s="32">
        <f>IF(INDEX(E_budgeted!$B$3:$G$13,MATCH($A192,E_budgeted!$A$3:$A$13,0),MATCH($A$180,E_budgeted!$B$2:$G$2,0))&gt;0,MIN('Vaal-Orange CMA'!B53,E_budgeted!B252),'Vaal-Orange CMA'!B53)</f>
        <v>10781472.294458872</v>
      </c>
      <c r="C192" s="32">
        <f>IF(INDEX(E_budgeted!$B$3:$G$13,MATCH($A192,E_budgeted!$A$3:$A$13,0),MATCH($A$180,E_budgeted!$B$2:$G$2,0))&gt;0,MIN('Vaal-Orange CMA'!C53,E_budgeted!C252),'Vaal-Orange CMA'!C53)</f>
        <v>10781472.294458872</v>
      </c>
      <c r="D192" s="32">
        <f>IF(INDEX(E_budgeted!$B$3:$G$13,MATCH($A192,E_budgeted!$A$3:$A$13,0),MATCH($A$180,E_budgeted!$B$2:$G$2,0))&gt;0,MIN('Vaal-Orange CMA'!D53,E_budgeted!D252),'Vaal-Orange CMA'!D53)</f>
        <v>10781472.294458872</v>
      </c>
      <c r="E192" s="32">
        <f>IF(INDEX(E_budgeted!$B$3:$G$13,MATCH($A192,E_budgeted!$A$3:$A$13,0),MATCH($A$180,E_budgeted!$B$2:$G$2,0))&gt;0,MIN('Vaal-Orange CMA'!E53,E_budgeted!E252),'Vaal-Orange CMA'!E53)</f>
        <v>10781472.294458872</v>
      </c>
      <c r="F192" s="32">
        <f>IF(INDEX(E_budgeted!$B$3:$G$13,MATCH($A192,E_budgeted!$A$3:$A$13,0),MATCH($A$180,E_budgeted!$B$2:$G$2,0))&gt;0,MIN('Vaal-Orange CMA'!F53,E_budgeted!F252),'Vaal-Orange CMA'!F53)</f>
        <v>10781472.294458872</v>
      </c>
      <c r="G192" s="32">
        <f>IF(INDEX(E_budgeted!$B$3:$G$13,MATCH($A192,E_budgeted!$A$3:$A$13,0),MATCH($A$180,E_budgeted!$B$2:$G$2,0))&gt;0,MIN('Vaal-Orange CMA'!G53,E_budgeted!G252),'Vaal-Orange CMA'!G53)</f>
        <v>10781472.294458872</v>
      </c>
      <c r="H192" s="32">
        <f>IF(INDEX(E_budgeted!$B$3:$G$13,MATCH($A192,E_budgeted!$A$3:$A$13,0),MATCH($A$180,E_budgeted!$B$2:$G$2,0))&gt;0,MIN('Vaal-Orange CMA'!H53,E_budgeted!H252),'Vaal-Orange CMA'!H53)</f>
        <v>10781472.294458872</v>
      </c>
      <c r="I192" s="32">
        <f>IF(INDEX(E_budgeted!$B$3:$G$13,MATCH($A192,E_budgeted!$A$3:$A$13,0),MATCH($A$180,E_budgeted!$B$2:$G$2,0))&gt;0,MIN('Vaal-Orange CMA'!I53,E_budgeted!I252),'Vaal-Orange CMA'!I53)</f>
        <v>10781472.294458872</v>
      </c>
      <c r="J192" s="32">
        <f>IF(INDEX(E_budgeted!$B$3:$G$13,MATCH($A192,E_budgeted!$A$3:$A$13,0),MATCH($A$180,E_budgeted!$B$2:$G$2,0))&gt;0,MIN('Vaal-Orange CMA'!J53,E_budgeted!J252),'Vaal-Orange CMA'!J53)</f>
        <v>10781472.294458872</v>
      </c>
      <c r="K192" s="32">
        <f>IF(INDEX(E_budgeted!$B$3:$G$13,MATCH($A192,E_budgeted!$A$3:$A$13,0),MATCH($A$180,E_budgeted!$B$2:$G$2,0))&gt;0,MIN('Vaal-Orange CMA'!K53,E_budgeted!K252),'Vaal-Orange CMA'!K53)</f>
        <v>10781472.294458872</v>
      </c>
      <c r="L192" s="5">
        <f t="shared" si="125"/>
        <v>10781472.29445887</v>
      </c>
    </row>
    <row r="193" spans="1:12" x14ac:dyDescent="0.25">
      <c r="A193" s="4" t="s">
        <v>15</v>
      </c>
      <c r="B193" s="13">
        <f>IF(INDEX(E_budgeted!$B$3:$G$13,MATCH($A193,E_budgeted!$A$3:$A$13,0),MATCH($A$180,E_budgeted!$B$2:$G$2,0))&gt;0,MIN('Vaal-Orange CMA'!B54,E_budgeted!B253),'Vaal-Orange CMA'!B54)</f>
        <v>54969548.037499994</v>
      </c>
      <c r="C193" s="13">
        <f>IF(INDEX(E_budgeted!$B$3:$G$13,MATCH($A193,E_budgeted!$A$3:$A$13,0),MATCH($A$180,E_budgeted!$B$2:$G$2,0))&gt;0,MIN('Vaal-Orange CMA'!C54,E_budgeted!C253),'Vaal-Orange CMA'!C54)</f>
        <v>54969548.037499994</v>
      </c>
      <c r="D193" s="13">
        <f>IF(INDEX(E_budgeted!$B$3:$G$13,MATCH($A193,E_budgeted!$A$3:$A$13,0),MATCH($A$180,E_budgeted!$B$2:$G$2,0))&gt;0,MIN('Vaal-Orange CMA'!D54,E_budgeted!D253),'Vaal-Orange CMA'!D54)</f>
        <v>54969548.037499994</v>
      </c>
      <c r="E193" s="13">
        <f>IF(INDEX(E_budgeted!$B$3:$G$13,MATCH($A193,E_budgeted!$A$3:$A$13,0),MATCH($A$180,E_budgeted!$B$2:$G$2,0))&gt;0,MIN('Vaal-Orange CMA'!E54,E_budgeted!E253),'Vaal-Orange CMA'!E54)</f>
        <v>54969548.037499994</v>
      </c>
      <c r="F193" s="13">
        <f>IF(INDEX(E_budgeted!$B$3:$G$13,MATCH($A193,E_budgeted!$A$3:$A$13,0),MATCH($A$180,E_budgeted!$B$2:$G$2,0))&gt;0,MIN('Vaal-Orange CMA'!F54,E_budgeted!F253),'Vaal-Orange CMA'!F54)</f>
        <v>54969548.037499994</v>
      </c>
      <c r="G193" s="13">
        <f>IF(INDEX(E_budgeted!$B$3:$G$13,MATCH($A193,E_budgeted!$A$3:$A$13,0),MATCH($A$180,E_budgeted!$B$2:$G$2,0))&gt;0,MIN('Vaal-Orange CMA'!G54,E_budgeted!G253),'Vaal-Orange CMA'!G54)</f>
        <v>54969548.037499994</v>
      </c>
      <c r="H193" s="13">
        <f>IF(INDEX(E_budgeted!$B$3:$G$13,MATCH($A193,E_budgeted!$A$3:$A$13,0),MATCH($A$180,E_budgeted!$B$2:$G$2,0))&gt;0,MIN('Vaal-Orange CMA'!H54,E_budgeted!H253),'Vaal-Orange CMA'!H54)</f>
        <v>54969548.037499994</v>
      </c>
      <c r="I193" s="13">
        <f>IF(INDEX(E_budgeted!$B$3:$G$13,MATCH($A193,E_budgeted!$A$3:$A$13,0),MATCH($A$180,E_budgeted!$B$2:$G$2,0))&gt;0,MIN('Vaal-Orange CMA'!I54,E_budgeted!I253),'Vaal-Orange CMA'!I54)</f>
        <v>54969548.037499994</v>
      </c>
      <c r="J193" s="13">
        <f>IF(INDEX(E_budgeted!$B$3:$G$13,MATCH($A193,E_budgeted!$A$3:$A$13,0),MATCH($A$180,E_budgeted!$B$2:$G$2,0))&gt;0,MIN('Vaal-Orange CMA'!J54,E_budgeted!J253),'Vaal-Orange CMA'!J54)</f>
        <v>54969548.037499994</v>
      </c>
      <c r="K193" s="13">
        <f>IF(INDEX(E_budgeted!$B$3:$G$13,MATCH($A193,E_budgeted!$A$3:$A$13,0),MATCH($A$180,E_budgeted!$B$2:$G$2,0))&gt;0,MIN('Vaal-Orange CMA'!K54,E_budgeted!K253),'Vaal-Orange CMA'!K54)</f>
        <v>54969548.037499994</v>
      </c>
      <c r="L193" s="5">
        <f t="shared" si="125"/>
        <v>54969548.037500009</v>
      </c>
    </row>
    <row r="194" spans="1:12" x14ac:dyDescent="0.25">
      <c r="B194" s="5">
        <f t="shared" ref="B194:K194" si="126">SUM(B183:B193)</f>
        <v>177632271.34652755</v>
      </c>
      <c r="C194" s="5">
        <f t="shared" si="126"/>
        <v>177632271.34652755</v>
      </c>
      <c r="D194" s="5">
        <f t="shared" si="126"/>
        <v>177632271.34652755</v>
      </c>
      <c r="E194" s="5">
        <f t="shared" si="126"/>
        <v>177632271.34652755</v>
      </c>
      <c r="F194" s="5">
        <f t="shared" si="126"/>
        <v>177632271.34652755</v>
      </c>
      <c r="G194" s="5">
        <f t="shared" si="126"/>
        <v>177632271.34652755</v>
      </c>
      <c r="H194" s="5">
        <f t="shared" si="126"/>
        <v>177632271.34652755</v>
      </c>
      <c r="I194" s="5">
        <f t="shared" si="126"/>
        <v>177632271.34652755</v>
      </c>
      <c r="J194" s="5">
        <f t="shared" si="126"/>
        <v>177632271.34652755</v>
      </c>
      <c r="K194" s="5">
        <f t="shared" si="126"/>
        <v>177632271.34652755</v>
      </c>
      <c r="L194" s="5"/>
    </row>
    <row r="196" spans="1:12" ht="30" x14ac:dyDescent="0.25">
      <c r="A196" s="15" t="s">
        <v>56</v>
      </c>
      <c r="B196" s="12" t="str">
        <f>'Summary dashboard'!C4</f>
        <v>2023</v>
      </c>
      <c r="C196" s="12">
        <f t="shared" ref="C196" si="127">B196+1</f>
        <v>2024</v>
      </c>
      <c r="D196" s="12">
        <f t="shared" ref="D196" si="128">C196+1</f>
        <v>2025</v>
      </c>
      <c r="E196" s="12">
        <f t="shared" ref="E196" si="129">D196+1</f>
        <v>2026</v>
      </c>
      <c r="F196" s="12">
        <f t="shared" ref="F196" si="130">E196+1</f>
        <v>2027</v>
      </c>
      <c r="G196" s="12">
        <f t="shared" ref="G196" si="131">F196+1</f>
        <v>2028</v>
      </c>
      <c r="H196" s="12">
        <f t="shared" ref="H196" si="132">G196+1</f>
        <v>2029</v>
      </c>
      <c r="I196" s="12">
        <f t="shared" ref="I196" si="133">H196+1</f>
        <v>2030</v>
      </c>
      <c r="J196" s="12">
        <f t="shared" ref="J196" si="134">I196+1</f>
        <v>2031</v>
      </c>
      <c r="K196" s="12">
        <f t="shared" ref="K196" si="135">J196+1</f>
        <v>2032</v>
      </c>
      <c r="L196" s="1" t="s">
        <v>28</v>
      </c>
    </row>
    <row r="197" spans="1:12" x14ac:dyDescent="0.25">
      <c r="A197" s="4" t="s">
        <v>35</v>
      </c>
      <c r="B197" s="32">
        <f>IF(INDEX(E_budgeted!$B$3:$G$13,MATCH($A197,E_budgeted!$A$3:$A$13,0),MATCH($A$180,E_budgeted!$B$2:$G$2,0))&gt;0,MIN('Vaal-Orange CMA'!B58,E_budgeted!B257),'Vaal-Orange CMA'!B58)</f>
        <v>7416720.6795220003</v>
      </c>
      <c r="C197" s="32">
        <f>IF(INDEX(E_budgeted!$B$3:$G$13,MATCH($A197,E_budgeted!$A$3:$A$13,0),MATCH($A$180,E_budgeted!$B$2:$G$2,0))&gt;0,MIN('Vaal-Orange CMA'!C58,E_budgeted!C257),'Vaal-Orange CMA'!C58)</f>
        <v>7416720.6795220003</v>
      </c>
      <c r="D197" s="32">
        <f>IF(INDEX(E_budgeted!$B$3:$G$13,MATCH($A197,E_budgeted!$A$3:$A$13,0),MATCH($A$180,E_budgeted!$B$2:$G$2,0))&gt;0,MIN('Vaal-Orange CMA'!D58,E_budgeted!D257),'Vaal-Orange CMA'!D58)</f>
        <v>7416720.6795220003</v>
      </c>
      <c r="E197" s="32">
        <f>IF(INDEX(E_budgeted!$B$3:$G$13,MATCH($A197,E_budgeted!$A$3:$A$13,0),MATCH($A$180,E_budgeted!$B$2:$G$2,0))&gt;0,MIN('Vaal-Orange CMA'!E58,E_budgeted!E257),'Vaal-Orange CMA'!E58)</f>
        <v>7416720.6795220003</v>
      </c>
      <c r="F197" s="32">
        <f>IF(INDEX(E_budgeted!$B$3:$G$13,MATCH($A197,E_budgeted!$A$3:$A$13,0),MATCH($A$180,E_budgeted!$B$2:$G$2,0))&gt;0,MIN('Vaal-Orange CMA'!F58,E_budgeted!F257),'Vaal-Orange CMA'!F58)</f>
        <v>7416720.6795220003</v>
      </c>
      <c r="G197" s="32">
        <f>IF(INDEX(E_budgeted!$B$3:$G$13,MATCH($A197,E_budgeted!$A$3:$A$13,0),MATCH($A$180,E_budgeted!$B$2:$G$2,0))&gt;0,MIN('Vaal-Orange CMA'!G58,E_budgeted!G257),'Vaal-Orange CMA'!G58)</f>
        <v>7416720.6795220003</v>
      </c>
      <c r="H197" s="32">
        <f>IF(INDEX(E_budgeted!$B$3:$G$13,MATCH($A197,E_budgeted!$A$3:$A$13,0),MATCH($A$180,E_budgeted!$B$2:$G$2,0))&gt;0,MIN('Vaal-Orange CMA'!H58,E_budgeted!H257),'Vaal-Orange CMA'!H58)</f>
        <v>7416720.6795220003</v>
      </c>
      <c r="I197" s="32">
        <f>IF(INDEX(E_budgeted!$B$3:$G$13,MATCH($A197,E_budgeted!$A$3:$A$13,0),MATCH($A$180,E_budgeted!$B$2:$G$2,0))&gt;0,MIN('Vaal-Orange CMA'!I58,E_budgeted!I257),'Vaal-Orange CMA'!I58)</f>
        <v>7416720.6795220003</v>
      </c>
      <c r="J197" s="32">
        <f>IF(INDEX(E_budgeted!$B$3:$G$13,MATCH($A197,E_budgeted!$A$3:$A$13,0),MATCH($A$180,E_budgeted!$B$2:$G$2,0))&gt;0,MIN('Vaal-Orange CMA'!J58,E_budgeted!J257),'Vaal-Orange CMA'!J58)</f>
        <v>7416720.6795220003</v>
      </c>
      <c r="K197" s="32">
        <f>IF(INDEX(E_budgeted!$B$3:$G$13,MATCH($A197,E_budgeted!$A$3:$A$13,0),MATCH($A$180,E_budgeted!$B$2:$G$2,0))&gt;0,MIN('Vaal-Orange CMA'!K58,E_budgeted!K257),'Vaal-Orange CMA'!K58)</f>
        <v>7416720.6795220003</v>
      </c>
      <c r="L197" s="5">
        <f t="shared" ref="L197:L207" si="136">AVERAGE(B197:K197)</f>
        <v>7416720.6795220003</v>
      </c>
    </row>
    <row r="198" spans="1:12" x14ac:dyDescent="0.25">
      <c r="A198" s="4" t="s">
        <v>36</v>
      </c>
      <c r="B198" s="32">
        <f>IF(INDEX(E_budgeted!$B$3:$G$13,MATCH($A198,E_budgeted!$A$3:$A$13,0),MATCH($A$180,E_budgeted!$B$2:$G$2,0))&gt;0,MIN('Vaal-Orange CMA'!B59,E_budgeted!B258),'Vaal-Orange CMA'!B59)</f>
        <v>2759053.3137000008</v>
      </c>
      <c r="C198" s="32">
        <f>IF(INDEX(E_budgeted!$B$3:$G$13,MATCH($A198,E_budgeted!$A$3:$A$13,0),MATCH($A$180,E_budgeted!$B$2:$G$2,0))&gt;0,MIN('Vaal-Orange CMA'!C59,E_budgeted!C258),'Vaal-Orange CMA'!C59)</f>
        <v>2759053.3137000008</v>
      </c>
      <c r="D198" s="32">
        <f>IF(INDEX(E_budgeted!$B$3:$G$13,MATCH($A198,E_budgeted!$A$3:$A$13,0),MATCH($A$180,E_budgeted!$B$2:$G$2,0))&gt;0,MIN('Vaal-Orange CMA'!D59,E_budgeted!D258),'Vaal-Orange CMA'!D59)</f>
        <v>2759053.3137000008</v>
      </c>
      <c r="E198" s="32">
        <f>IF(INDEX(E_budgeted!$B$3:$G$13,MATCH($A198,E_budgeted!$A$3:$A$13,0),MATCH($A$180,E_budgeted!$B$2:$G$2,0))&gt;0,MIN('Vaal-Orange CMA'!E59,E_budgeted!E258),'Vaal-Orange CMA'!E59)</f>
        <v>2759053.3137000008</v>
      </c>
      <c r="F198" s="32">
        <f>IF(INDEX(E_budgeted!$B$3:$G$13,MATCH($A198,E_budgeted!$A$3:$A$13,0),MATCH($A$180,E_budgeted!$B$2:$G$2,0))&gt;0,MIN('Vaal-Orange CMA'!F59,E_budgeted!F258),'Vaal-Orange CMA'!F59)</f>
        <v>2759053.3137000008</v>
      </c>
      <c r="G198" s="32">
        <f>IF(INDEX(E_budgeted!$B$3:$G$13,MATCH($A198,E_budgeted!$A$3:$A$13,0),MATCH($A$180,E_budgeted!$B$2:$G$2,0))&gt;0,MIN('Vaal-Orange CMA'!G59,E_budgeted!G258),'Vaal-Orange CMA'!G59)</f>
        <v>2759053.3137000008</v>
      </c>
      <c r="H198" s="32">
        <f>IF(INDEX(E_budgeted!$B$3:$G$13,MATCH($A198,E_budgeted!$A$3:$A$13,0),MATCH($A$180,E_budgeted!$B$2:$G$2,0))&gt;0,MIN('Vaal-Orange CMA'!H59,E_budgeted!H258),'Vaal-Orange CMA'!H59)</f>
        <v>2759053.3137000008</v>
      </c>
      <c r="I198" s="32">
        <f>IF(INDEX(E_budgeted!$B$3:$G$13,MATCH($A198,E_budgeted!$A$3:$A$13,0),MATCH($A$180,E_budgeted!$B$2:$G$2,0))&gt;0,MIN('Vaal-Orange CMA'!I59,E_budgeted!I258),'Vaal-Orange CMA'!I59)</f>
        <v>2759053.3137000008</v>
      </c>
      <c r="J198" s="32">
        <f>IF(INDEX(E_budgeted!$B$3:$G$13,MATCH($A198,E_budgeted!$A$3:$A$13,0),MATCH($A$180,E_budgeted!$B$2:$G$2,0))&gt;0,MIN('Vaal-Orange CMA'!J59,E_budgeted!J258),'Vaal-Orange CMA'!J59)</f>
        <v>2759053.3137000008</v>
      </c>
      <c r="K198" s="32">
        <f>IF(INDEX(E_budgeted!$B$3:$G$13,MATCH($A198,E_budgeted!$A$3:$A$13,0),MATCH($A$180,E_budgeted!$B$2:$G$2,0))&gt;0,MIN('Vaal-Orange CMA'!K59,E_budgeted!K258),'Vaal-Orange CMA'!K59)</f>
        <v>2759053.3137000008</v>
      </c>
      <c r="L198" s="5">
        <f t="shared" si="136"/>
        <v>2759053.3137000012</v>
      </c>
    </row>
    <row r="199" spans="1:12" x14ac:dyDescent="0.25">
      <c r="A199" s="4" t="s">
        <v>11</v>
      </c>
      <c r="B199" s="32">
        <f>IF(INDEX(E_budgeted!$B$3:$G$13,MATCH($A199,E_budgeted!$A$3:$A$13,0),MATCH($A$180,E_budgeted!$B$2:$G$2,0))&gt;0,MIN('Vaal-Orange CMA'!B60,E_budgeted!B259),'Vaal-Orange CMA'!B60)</f>
        <v>0</v>
      </c>
      <c r="C199" s="32">
        <f>IF(INDEX(E_budgeted!$B$3:$G$13,MATCH($A199,E_budgeted!$A$3:$A$13,0),MATCH($A$180,E_budgeted!$B$2:$G$2,0))&gt;0,MIN('Vaal-Orange CMA'!C60,E_budgeted!C259),'Vaal-Orange CMA'!C60)</f>
        <v>0</v>
      </c>
      <c r="D199" s="32">
        <f>IF(INDEX(E_budgeted!$B$3:$G$13,MATCH($A199,E_budgeted!$A$3:$A$13,0),MATCH($A$180,E_budgeted!$B$2:$G$2,0))&gt;0,MIN('Vaal-Orange CMA'!D60,E_budgeted!D259),'Vaal-Orange CMA'!D60)</f>
        <v>0</v>
      </c>
      <c r="E199" s="32">
        <f>IF(INDEX(E_budgeted!$B$3:$G$13,MATCH($A199,E_budgeted!$A$3:$A$13,0),MATCH($A$180,E_budgeted!$B$2:$G$2,0))&gt;0,MIN('Vaal-Orange CMA'!E60,E_budgeted!E259),'Vaal-Orange CMA'!E60)</f>
        <v>0</v>
      </c>
      <c r="F199" s="32">
        <f>IF(INDEX(E_budgeted!$B$3:$G$13,MATCH($A199,E_budgeted!$A$3:$A$13,0),MATCH($A$180,E_budgeted!$B$2:$G$2,0))&gt;0,MIN('Vaal-Orange CMA'!F60,E_budgeted!F259),'Vaal-Orange CMA'!F60)</f>
        <v>0</v>
      </c>
      <c r="G199" s="32">
        <f>IF(INDEX(E_budgeted!$B$3:$G$13,MATCH($A199,E_budgeted!$A$3:$A$13,0),MATCH($A$180,E_budgeted!$B$2:$G$2,0))&gt;0,MIN('Vaal-Orange CMA'!G60,E_budgeted!G259),'Vaal-Orange CMA'!G60)</f>
        <v>0</v>
      </c>
      <c r="H199" s="32">
        <f>IF(INDEX(E_budgeted!$B$3:$G$13,MATCH($A199,E_budgeted!$A$3:$A$13,0),MATCH($A$180,E_budgeted!$B$2:$G$2,0))&gt;0,MIN('Vaal-Orange CMA'!H60,E_budgeted!H259),'Vaal-Orange CMA'!H60)</f>
        <v>0</v>
      </c>
      <c r="I199" s="32">
        <f>IF(INDEX(E_budgeted!$B$3:$G$13,MATCH($A199,E_budgeted!$A$3:$A$13,0),MATCH($A$180,E_budgeted!$B$2:$G$2,0))&gt;0,MIN('Vaal-Orange CMA'!I60,E_budgeted!I259),'Vaal-Orange CMA'!I60)</f>
        <v>0</v>
      </c>
      <c r="J199" s="32">
        <f>IF(INDEX(E_budgeted!$B$3:$G$13,MATCH($A199,E_budgeted!$A$3:$A$13,0),MATCH($A$180,E_budgeted!$B$2:$G$2,0))&gt;0,MIN('Vaal-Orange CMA'!J60,E_budgeted!J259),'Vaal-Orange CMA'!J60)</f>
        <v>0</v>
      </c>
      <c r="K199" s="32">
        <f>IF(INDEX(E_budgeted!$B$3:$G$13,MATCH($A199,E_budgeted!$A$3:$A$13,0),MATCH($A$180,E_budgeted!$B$2:$G$2,0))&gt;0,MIN('Vaal-Orange CMA'!K60,E_budgeted!K259),'Vaal-Orange CMA'!K60)</f>
        <v>0</v>
      </c>
      <c r="L199" s="5">
        <f t="shared" si="136"/>
        <v>0</v>
      </c>
    </row>
    <row r="200" spans="1:12" x14ac:dyDescent="0.25">
      <c r="A200" s="4" t="s">
        <v>124</v>
      </c>
      <c r="B200" s="32">
        <f>IF(INDEX(E_budgeted!$B$3:$G$13,MATCH($A200,E_budgeted!$A$3:$A$13,0),MATCH($A$180,E_budgeted!$B$2:$G$2,0))&gt;0,MIN('Vaal-Orange CMA'!B61,E_budgeted!B260),'Vaal-Orange CMA'!B61)</f>
        <v>4945191.5240000002</v>
      </c>
      <c r="C200" s="32">
        <f>IF(INDEX(E_budgeted!$B$3:$G$13,MATCH($A200,E_budgeted!$A$3:$A$13,0),MATCH($A$180,E_budgeted!$B$2:$G$2,0))&gt;0,MIN('Vaal-Orange CMA'!C61,E_budgeted!C260),'Vaal-Orange CMA'!C61)</f>
        <v>4945191.5240000002</v>
      </c>
      <c r="D200" s="32">
        <f>IF(INDEX(E_budgeted!$B$3:$G$13,MATCH($A200,E_budgeted!$A$3:$A$13,0),MATCH($A$180,E_budgeted!$B$2:$G$2,0))&gt;0,MIN('Vaal-Orange CMA'!D61,E_budgeted!D260),'Vaal-Orange CMA'!D61)</f>
        <v>4945191.5240000002</v>
      </c>
      <c r="E200" s="32">
        <f>IF(INDEX(E_budgeted!$B$3:$G$13,MATCH($A200,E_budgeted!$A$3:$A$13,0),MATCH($A$180,E_budgeted!$B$2:$G$2,0))&gt;0,MIN('Vaal-Orange CMA'!E61,E_budgeted!E260),'Vaal-Orange CMA'!E61)</f>
        <v>4945191.5240000002</v>
      </c>
      <c r="F200" s="32">
        <f>IF(INDEX(E_budgeted!$B$3:$G$13,MATCH($A200,E_budgeted!$A$3:$A$13,0),MATCH($A$180,E_budgeted!$B$2:$G$2,0))&gt;0,MIN('Vaal-Orange CMA'!F61,E_budgeted!F260),'Vaal-Orange CMA'!F61)</f>
        <v>4945191.5240000002</v>
      </c>
      <c r="G200" s="32">
        <f>IF(INDEX(E_budgeted!$B$3:$G$13,MATCH($A200,E_budgeted!$A$3:$A$13,0),MATCH($A$180,E_budgeted!$B$2:$G$2,0))&gt;0,MIN('Vaal-Orange CMA'!G61,E_budgeted!G260),'Vaal-Orange CMA'!G61)</f>
        <v>4945191.5240000002</v>
      </c>
      <c r="H200" s="32">
        <f>IF(INDEX(E_budgeted!$B$3:$G$13,MATCH($A200,E_budgeted!$A$3:$A$13,0),MATCH($A$180,E_budgeted!$B$2:$G$2,0))&gt;0,MIN('Vaal-Orange CMA'!H61,E_budgeted!H260),'Vaal-Orange CMA'!H61)</f>
        <v>4945191.5240000002</v>
      </c>
      <c r="I200" s="32">
        <f>IF(INDEX(E_budgeted!$B$3:$G$13,MATCH($A200,E_budgeted!$A$3:$A$13,0),MATCH($A$180,E_budgeted!$B$2:$G$2,0))&gt;0,MIN('Vaal-Orange CMA'!I61,E_budgeted!I260),'Vaal-Orange CMA'!I61)</f>
        <v>4945191.5240000002</v>
      </c>
      <c r="J200" s="32">
        <f>IF(INDEX(E_budgeted!$B$3:$G$13,MATCH($A200,E_budgeted!$A$3:$A$13,0),MATCH($A$180,E_budgeted!$B$2:$G$2,0))&gt;0,MIN('Vaal-Orange CMA'!J61,E_budgeted!J260),'Vaal-Orange CMA'!J61)</f>
        <v>4945191.5240000002</v>
      </c>
      <c r="K200" s="32">
        <f>IF(INDEX(E_budgeted!$B$3:$G$13,MATCH($A200,E_budgeted!$A$3:$A$13,0),MATCH($A$180,E_budgeted!$B$2:$G$2,0))&gt;0,MIN('Vaal-Orange CMA'!K61,E_budgeted!K260),'Vaal-Orange CMA'!K61)</f>
        <v>4945191.5240000002</v>
      </c>
      <c r="L200" s="5">
        <f t="shared" si="136"/>
        <v>4945191.5240000011</v>
      </c>
    </row>
    <row r="201" spans="1:12" x14ac:dyDescent="0.25">
      <c r="A201" s="4" t="s">
        <v>12</v>
      </c>
      <c r="B201" s="32">
        <f>IF(INDEX(E_budgeted!$B$3:$G$13,MATCH($A201,E_budgeted!$A$3:$A$13,0),MATCH($A$180,E_budgeted!$B$2:$G$2,0))&gt;0,MIN('Vaal-Orange CMA'!B62,E_budgeted!B261),'Vaal-Orange CMA'!B62)</f>
        <v>4633987.658846668</v>
      </c>
      <c r="C201" s="32">
        <f>IF(INDEX(E_budgeted!$B$3:$G$13,MATCH($A201,E_budgeted!$A$3:$A$13,0),MATCH($A$180,E_budgeted!$B$2:$G$2,0))&gt;0,MIN('Vaal-Orange CMA'!C62,E_budgeted!C261),'Vaal-Orange CMA'!C62)</f>
        <v>4633987.658846668</v>
      </c>
      <c r="D201" s="32">
        <f>IF(INDEX(E_budgeted!$B$3:$G$13,MATCH($A201,E_budgeted!$A$3:$A$13,0),MATCH($A$180,E_budgeted!$B$2:$G$2,0))&gt;0,MIN('Vaal-Orange CMA'!D62,E_budgeted!D261),'Vaal-Orange CMA'!D62)</f>
        <v>4633987.658846668</v>
      </c>
      <c r="E201" s="32">
        <f>IF(INDEX(E_budgeted!$B$3:$G$13,MATCH($A201,E_budgeted!$A$3:$A$13,0),MATCH($A$180,E_budgeted!$B$2:$G$2,0))&gt;0,MIN('Vaal-Orange CMA'!E62,E_budgeted!E261),'Vaal-Orange CMA'!E62)</f>
        <v>4633987.658846668</v>
      </c>
      <c r="F201" s="32">
        <f>IF(INDEX(E_budgeted!$B$3:$G$13,MATCH($A201,E_budgeted!$A$3:$A$13,0),MATCH($A$180,E_budgeted!$B$2:$G$2,0))&gt;0,MIN('Vaal-Orange CMA'!F62,E_budgeted!F261),'Vaal-Orange CMA'!F62)</f>
        <v>4633987.658846668</v>
      </c>
      <c r="G201" s="32">
        <f>IF(INDEX(E_budgeted!$B$3:$G$13,MATCH($A201,E_budgeted!$A$3:$A$13,0),MATCH($A$180,E_budgeted!$B$2:$G$2,0))&gt;0,MIN('Vaal-Orange CMA'!G62,E_budgeted!G261),'Vaal-Orange CMA'!G62)</f>
        <v>4633987.658846668</v>
      </c>
      <c r="H201" s="32">
        <f>IF(INDEX(E_budgeted!$B$3:$G$13,MATCH($A201,E_budgeted!$A$3:$A$13,0),MATCH($A$180,E_budgeted!$B$2:$G$2,0))&gt;0,MIN('Vaal-Orange CMA'!H62,E_budgeted!H261),'Vaal-Orange CMA'!H62)</f>
        <v>4633987.658846668</v>
      </c>
      <c r="I201" s="32">
        <f>IF(INDEX(E_budgeted!$B$3:$G$13,MATCH($A201,E_budgeted!$A$3:$A$13,0),MATCH($A$180,E_budgeted!$B$2:$G$2,0))&gt;0,MIN('Vaal-Orange CMA'!I62,E_budgeted!I261),'Vaal-Orange CMA'!I62)</f>
        <v>4633987.658846668</v>
      </c>
      <c r="J201" s="32">
        <f>IF(INDEX(E_budgeted!$B$3:$G$13,MATCH($A201,E_budgeted!$A$3:$A$13,0),MATCH($A$180,E_budgeted!$B$2:$G$2,0))&gt;0,MIN('Vaal-Orange CMA'!J62,E_budgeted!J261),'Vaal-Orange CMA'!J62)</f>
        <v>4633987.658846668</v>
      </c>
      <c r="K201" s="32">
        <f>IF(INDEX(E_budgeted!$B$3:$G$13,MATCH($A201,E_budgeted!$A$3:$A$13,0),MATCH($A$180,E_budgeted!$B$2:$G$2,0))&gt;0,MIN('Vaal-Orange CMA'!K62,E_budgeted!K261),'Vaal-Orange CMA'!K62)</f>
        <v>4633987.658846668</v>
      </c>
      <c r="L201" s="5">
        <f t="shared" si="136"/>
        <v>4633987.658846668</v>
      </c>
    </row>
    <row r="202" spans="1:12" x14ac:dyDescent="0.25">
      <c r="A202" s="4" t="s">
        <v>13</v>
      </c>
      <c r="B202" s="32">
        <f>IF(INDEX(E_budgeted!$B$3:$G$13,MATCH($A202,E_budgeted!$A$3:$A$13,0),MATCH($A$180,E_budgeted!$B$2:$G$2,0))&gt;0,MIN('Vaal-Orange CMA'!B63,E_budgeted!B262),'Vaal-Orange CMA'!B63)</f>
        <v>0</v>
      </c>
      <c r="C202" s="32">
        <f>IF(INDEX(E_budgeted!$B$3:$G$13,MATCH($A202,E_budgeted!$A$3:$A$13,0),MATCH($A$180,E_budgeted!$B$2:$G$2,0))&gt;0,MIN('Vaal-Orange CMA'!C63,E_budgeted!C262),'Vaal-Orange CMA'!C63)</f>
        <v>0</v>
      </c>
      <c r="D202" s="32">
        <f>IF(INDEX(E_budgeted!$B$3:$G$13,MATCH($A202,E_budgeted!$A$3:$A$13,0),MATCH($A$180,E_budgeted!$B$2:$G$2,0))&gt;0,MIN('Vaal-Orange CMA'!D63,E_budgeted!D262),'Vaal-Orange CMA'!D63)</f>
        <v>0</v>
      </c>
      <c r="E202" s="32">
        <f>IF(INDEX(E_budgeted!$B$3:$G$13,MATCH($A202,E_budgeted!$A$3:$A$13,0),MATCH($A$180,E_budgeted!$B$2:$G$2,0))&gt;0,MIN('Vaal-Orange CMA'!E63,E_budgeted!E262),'Vaal-Orange CMA'!E63)</f>
        <v>0</v>
      </c>
      <c r="F202" s="32">
        <f>IF(INDEX(E_budgeted!$B$3:$G$13,MATCH($A202,E_budgeted!$A$3:$A$13,0),MATCH($A$180,E_budgeted!$B$2:$G$2,0))&gt;0,MIN('Vaal-Orange CMA'!F63,E_budgeted!F262),'Vaal-Orange CMA'!F63)</f>
        <v>0</v>
      </c>
      <c r="G202" s="32">
        <f>IF(INDEX(E_budgeted!$B$3:$G$13,MATCH($A202,E_budgeted!$A$3:$A$13,0),MATCH($A$180,E_budgeted!$B$2:$G$2,0))&gt;0,MIN('Vaal-Orange CMA'!G63,E_budgeted!G262),'Vaal-Orange CMA'!G63)</f>
        <v>0</v>
      </c>
      <c r="H202" s="32">
        <f>IF(INDEX(E_budgeted!$B$3:$G$13,MATCH($A202,E_budgeted!$A$3:$A$13,0),MATCH($A$180,E_budgeted!$B$2:$G$2,0))&gt;0,MIN('Vaal-Orange CMA'!H63,E_budgeted!H262),'Vaal-Orange CMA'!H63)</f>
        <v>0</v>
      </c>
      <c r="I202" s="32">
        <f>IF(INDEX(E_budgeted!$B$3:$G$13,MATCH($A202,E_budgeted!$A$3:$A$13,0),MATCH($A$180,E_budgeted!$B$2:$G$2,0))&gt;0,MIN('Vaal-Orange CMA'!I63,E_budgeted!I262),'Vaal-Orange CMA'!I63)</f>
        <v>0</v>
      </c>
      <c r="J202" s="32">
        <f>IF(INDEX(E_budgeted!$B$3:$G$13,MATCH($A202,E_budgeted!$A$3:$A$13,0),MATCH($A$180,E_budgeted!$B$2:$G$2,0))&gt;0,MIN('Vaal-Orange CMA'!J63,E_budgeted!J262),'Vaal-Orange CMA'!J63)</f>
        <v>0</v>
      </c>
      <c r="K202" s="32">
        <f>IF(INDEX(E_budgeted!$B$3:$G$13,MATCH($A202,E_budgeted!$A$3:$A$13,0),MATCH($A$180,E_budgeted!$B$2:$G$2,0))&gt;0,MIN('Vaal-Orange CMA'!K63,E_budgeted!K262),'Vaal-Orange CMA'!K63)</f>
        <v>0</v>
      </c>
      <c r="L202" s="5">
        <f t="shared" si="136"/>
        <v>0</v>
      </c>
    </row>
    <row r="203" spans="1:12" x14ac:dyDescent="0.25">
      <c r="A203" s="4" t="s">
        <v>14</v>
      </c>
      <c r="B203" s="32">
        <f>IF(INDEX(E_budgeted!$B$3:$G$13,MATCH($A203,E_budgeted!$A$3:$A$13,0),MATCH($A$180,E_budgeted!$B$2:$G$2,0))&gt;0,MIN('Vaal-Orange CMA'!B64,E_budgeted!B263),'Vaal-Orange CMA'!B64)</f>
        <v>0</v>
      </c>
      <c r="C203" s="32">
        <f>IF(INDEX(E_budgeted!$B$3:$G$13,MATCH($A203,E_budgeted!$A$3:$A$13,0),MATCH($A$180,E_budgeted!$B$2:$G$2,0))&gt;0,MIN('Vaal-Orange CMA'!C64,E_budgeted!C263),'Vaal-Orange CMA'!C64)</f>
        <v>0</v>
      </c>
      <c r="D203" s="32">
        <f>IF(INDEX(E_budgeted!$B$3:$G$13,MATCH($A203,E_budgeted!$A$3:$A$13,0),MATCH($A$180,E_budgeted!$B$2:$G$2,0))&gt;0,MIN('Vaal-Orange CMA'!D64,E_budgeted!D263),'Vaal-Orange CMA'!D64)</f>
        <v>0</v>
      </c>
      <c r="E203" s="32">
        <f>IF(INDEX(E_budgeted!$B$3:$G$13,MATCH($A203,E_budgeted!$A$3:$A$13,0),MATCH($A$180,E_budgeted!$B$2:$G$2,0))&gt;0,MIN('Vaal-Orange CMA'!E64,E_budgeted!E263),'Vaal-Orange CMA'!E64)</f>
        <v>0</v>
      </c>
      <c r="F203" s="32">
        <f>IF(INDEX(E_budgeted!$B$3:$G$13,MATCH($A203,E_budgeted!$A$3:$A$13,0),MATCH($A$180,E_budgeted!$B$2:$G$2,0))&gt;0,MIN('Vaal-Orange CMA'!F64,E_budgeted!F263),'Vaal-Orange CMA'!F64)</f>
        <v>0</v>
      </c>
      <c r="G203" s="32">
        <f>IF(INDEX(E_budgeted!$B$3:$G$13,MATCH($A203,E_budgeted!$A$3:$A$13,0),MATCH($A$180,E_budgeted!$B$2:$G$2,0))&gt;0,MIN('Vaal-Orange CMA'!G64,E_budgeted!G263),'Vaal-Orange CMA'!G64)</f>
        <v>0</v>
      </c>
      <c r="H203" s="32">
        <f>IF(INDEX(E_budgeted!$B$3:$G$13,MATCH($A203,E_budgeted!$A$3:$A$13,0),MATCH($A$180,E_budgeted!$B$2:$G$2,0))&gt;0,MIN('Vaal-Orange CMA'!H64,E_budgeted!H263),'Vaal-Orange CMA'!H64)</f>
        <v>0</v>
      </c>
      <c r="I203" s="32">
        <f>IF(INDEX(E_budgeted!$B$3:$G$13,MATCH($A203,E_budgeted!$A$3:$A$13,0),MATCH($A$180,E_budgeted!$B$2:$G$2,0))&gt;0,MIN('Vaal-Orange CMA'!I64,E_budgeted!I263),'Vaal-Orange CMA'!I64)</f>
        <v>0</v>
      </c>
      <c r="J203" s="32">
        <f>IF(INDEX(E_budgeted!$B$3:$G$13,MATCH($A203,E_budgeted!$A$3:$A$13,0),MATCH($A$180,E_budgeted!$B$2:$G$2,0))&gt;0,MIN('Vaal-Orange CMA'!J64,E_budgeted!J263),'Vaal-Orange CMA'!J64)</f>
        <v>0</v>
      </c>
      <c r="K203" s="32">
        <f>IF(INDEX(E_budgeted!$B$3:$G$13,MATCH($A203,E_budgeted!$A$3:$A$13,0),MATCH($A$180,E_budgeted!$B$2:$G$2,0))&gt;0,MIN('Vaal-Orange CMA'!K64,E_budgeted!K263),'Vaal-Orange CMA'!K64)</f>
        <v>0</v>
      </c>
      <c r="L203" s="5">
        <f t="shared" si="136"/>
        <v>0</v>
      </c>
    </row>
    <row r="204" spans="1:12" x14ac:dyDescent="0.25">
      <c r="A204" s="4" t="s">
        <v>125</v>
      </c>
      <c r="B204" s="32">
        <f>IF(INDEX(E_budgeted!$B$3:$G$13,MATCH($A204,E_budgeted!$A$3:$A$13,0),MATCH($A$180,E_budgeted!$B$2:$G$2,0))&gt;0,MIN('Vaal-Orange CMA'!B65,E_budgeted!B264),'Vaal-Orange CMA'!B65)</f>
        <v>2212020.5512816031</v>
      </c>
      <c r="C204" s="32">
        <f>IF(INDEX(E_budgeted!$B$3:$G$13,MATCH($A204,E_budgeted!$A$3:$A$13,0),MATCH($A$180,E_budgeted!$B$2:$G$2,0))&gt;0,MIN('Vaal-Orange CMA'!C65,E_budgeted!C264),'Vaal-Orange CMA'!C65)</f>
        <v>2212020.5512816031</v>
      </c>
      <c r="D204" s="32">
        <f>IF(INDEX(E_budgeted!$B$3:$G$13,MATCH($A204,E_budgeted!$A$3:$A$13,0),MATCH($A$180,E_budgeted!$B$2:$G$2,0))&gt;0,MIN('Vaal-Orange CMA'!D65,E_budgeted!D264),'Vaal-Orange CMA'!D65)</f>
        <v>2212020.5512816031</v>
      </c>
      <c r="E204" s="32">
        <f>IF(INDEX(E_budgeted!$B$3:$G$13,MATCH($A204,E_budgeted!$A$3:$A$13,0),MATCH($A$180,E_budgeted!$B$2:$G$2,0))&gt;0,MIN('Vaal-Orange CMA'!E65,E_budgeted!E264),'Vaal-Orange CMA'!E65)</f>
        <v>2212020.5512816031</v>
      </c>
      <c r="F204" s="32">
        <f>IF(INDEX(E_budgeted!$B$3:$G$13,MATCH($A204,E_budgeted!$A$3:$A$13,0),MATCH($A$180,E_budgeted!$B$2:$G$2,0))&gt;0,MIN('Vaal-Orange CMA'!F65,E_budgeted!F264),'Vaal-Orange CMA'!F65)</f>
        <v>2212020.5512816031</v>
      </c>
      <c r="G204" s="32">
        <f>IF(INDEX(E_budgeted!$B$3:$G$13,MATCH($A204,E_budgeted!$A$3:$A$13,0),MATCH($A$180,E_budgeted!$B$2:$G$2,0))&gt;0,MIN('Vaal-Orange CMA'!G65,E_budgeted!G264),'Vaal-Orange CMA'!G65)</f>
        <v>2212020.5512816031</v>
      </c>
      <c r="H204" s="32">
        <f>IF(INDEX(E_budgeted!$B$3:$G$13,MATCH($A204,E_budgeted!$A$3:$A$13,0),MATCH($A$180,E_budgeted!$B$2:$G$2,0))&gt;0,MIN('Vaal-Orange CMA'!H65,E_budgeted!H264),'Vaal-Orange CMA'!H65)</f>
        <v>2212020.5512816031</v>
      </c>
      <c r="I204" s="32">
        <f>IF(INDEX(E_budgeted!$B$3:$G$13,MATCH($A204,E_budgeted!$A$3:$A$13,0),MATCH($A$180,E_budgeted!$B$2:$G$2,0))&gt;0,MIN('Vaal-Orange CMA'!I65,E_budgeted!I264),'Vaal-Orange CMA'!I65)</f>
        <v>2212020.5512816031</v>
      </c>
      <c r="J204" s="32">
        <f>IF(INDEX(E_budgeted!$B$3:$G$13,MATCH($A204,E_budgeted!$A$3:$A$13,0),MATCH($A$180,E_budgeted!$B$2:$G$2,0))&gt;0,MIN('Vaal-Orange CMA'!J65,E_budgeted!J264),'Vaal-Orange CMA'!J65)</f>
        <v>2212020.5512816031</v>
      </c>
      <c r="K204" s="32">
        <f>IF(INDEX(E_budgeted!$B$3:$G$13,MATCH($A204,E_budgeted!$A$3:$A$13,0),MATCH($A$180,E_budgeted!$B$2:$G$2,0))&gt;0,MIN('Vaal-Orange CMA'!K65,E_budgeted!K264),'Vaal-Orange CMA'!K65)</f>
        <v>2212020.5512816031</v>
      </c>
      <c r="L204" s="5">
        <f t="shared" si="136"/>
        <v>2212020.5512816026</v>
      </c>
    </row>
    <row r="205" spans="1:12" x14ac:dyDescent="0.25">
      <c r="A205" s="4" t="s">
        <v>37</v>
      </c>
      <c r="B205" s="32">
        <f>IF(INDEX(E_budgeted!$B$3:$G$13,MATCH($A205,E_budgeted!$A$3:$A$13,0),MATCH($A$180,E_budgeted!$B$2:$G$2,0))&gt;0,MIN('Vaal-Orange CMA'!B66,E_budgeted!B265),'Vaal-Orange CMA'!B66)</f>
        <v>23792523.409871995</v>
      </c>
      <c r="C205" s="32">
        <f>IF(INDEX(E_budgeted!$B$3:$G$13,MATCH($A205,E_budgeted!$A$3:$A$13,0),MATCH($A$180,E_budgeted!$B$2:$G$2,0))&gt;0,MIN('Vaal-Orange CMA'!C66,E_budgeted!C265),'Vaal-Orange CMA'!C66)</f>
        <v>23792523.409871995</v>
      </c>
      <c r="D205" s="32">
        <f>IF(INDEX(E_budgeted!$B$3:$G$13,MATCH($A205,E_budgeted!$A$3:$A$13,0),MATCH($A$180,E_budgeted!$B$2:$G$2,0))&gt;0,MIN('Vaal-Orange CMA'!D66,E_budgeted!D265),'Vaal-Orange CMA'!D66)</f>
        <v>23792523.409871995</v>
      </c>
      <c r="E205" s="32">
        <f>IF(INDEX(E_budgeted!$B$3:$G$13,MATCH($A205,E_budgeted!$A$3:$A$13,0),MATCH($A$180,E_budgeted!$B$2:$G$2,0))&gt;0,MIN('Vaal-Orange CMA'!E66,E_budgeted!E265),'Vaal-Orange CMA'!E66)</f>
        <v>23792523.409871995</v>
      </c>
      <c r="F205" s="32">
        <f>IF(INDEX(E_budgeted!$B$3:$G$13,MATCH($A205,E_budgeted!$A$3:$A$13,0),MATCH($A$180,E_budgeted!$B$2:$G$2,0))&gt;0,MIN('Vaal-Orange CMA'!F66,E_budgeted!F265),'Vaal-Orange CMA'!F66)</f>
        <v>23792523.409871995</v>
      </c>
      <c r="G205" s="32">
        <f>IF(INDEX(E_budgeted!$B$3:$G$13,MATCH($A205,E_budgeted!$A$3:$A$13,0),MATCH($A$180,E_budgeted!$B$2:$G$2,0))&gt;0,MIN('Vaal-Orange CMA'!G66,E_budgeted!G265),'Vaal-Orange CMA'!G66)</f>
        <v>23792523.409871995</v>
      </c>
      <c r="H205" s="32">
        <f>IF(INDEX(E_budgeted!$B$3:$G$13,MATCH($A205,E_budgeted!$A$3:$A$13,0),MATCH($A$180,E_budgeted!$B$2:$G$2,0))&gt;0,MIN('Vaal-Orange CMA'!H66,E_budgeted!H265),'Vaal-Orange CMA'!H66)</f>
        <v>23792523.409871995</v>
      </c>
      <c r="I205" s="32">
        <f>IF(INDEX(E_budgeted!$B$3:$G$13,MATCH($A205,E_budgeted!$A$3:$A$13,0),MATCH($A$180,E_budgeted!$B$2:$G$2,0))&gt;0,MIN('Vaal-Orange CMA'!I66,E_budgeted!I265),'Vaal-Orange CMA'!I66)</f>
        <v>23792523.409871995</v>
      </c>
      <c r="J205" s="32">
        <f>IF(INDEX(E_budgeted!$B$3:$G$13,MATCH($A205,E_budgeted!$A$3:$A$13,0),MATCH($A$180,E_budgeted!$B$2:$G$2,0))&gt;0,MIN('Vaal-Orange CMA'!J66,E_budgeted!J265),'Vaal-Orange CMA'!J66)</f>
        <v>23792523.409871995</v>
      </c>
      <c r="K205" s="32">
        <f>IF(INDEX(E_budgeted!$B$3:$G$13,MATCH($A205,E_budgeted!$A$3:$A$13,0),MATCH($A$180,E_budgeted!$B$2:$G$2,0))&gt;0,MIN('Vaal-Orange CMA'!K66,E_budgeted!K265),'Vaal-Orange CMA'!K66)</f>
        <v>23792523.409871995</v>
      </c>
      <c r="L205" s="5">
        <f t="shared" si="136"/>
        <v>23792523.409871995</v>
      </c>
    </row>
    <row r="206" spans="1:12" x14ac:dyDescent="0.25">
      <c r="A206" s="4" t="s">
        <v>38</v>
      </c>
      <c r="B206" s="32">
        <f>IF(INDEX(E_budgeted!$B$3:$G$13,MATCH($A206,E_budgeted!$A$3:$A$13,0),MATCH($A$180,E_budgeted!$B$2:$G$2,0))&gt;0,MIN('Vaal-Orange CMA'!B67,E_budgeted!B266),'Vaal-Orange CMA'!B67)</f>
        <v>1078147.2294458873</v>
      </c>
      <c r="C206" s="32">
        <f>IF(INDEX(E_budgeted!$B$3:$G$13,MATCH($A206,E_budgeted!$A$3:$A$13,0),MATCH($A$180,E_budgeted!$B$2:$G$2,0))&gt;0,MIN('Vaal-Orange CMA'!C67,E_budgeted!C266),'Vaal-Orange CMA'!C67)</f>
        <v>1078147.2294458873</v>
      </c>
      <c r="D206" s="32">
        <f>IF(INDEX(E_budgeted!$B$3:$G$13,MATCH($A206,E_budgeted!$A$3:$A$13,0),MATCH($A$180,E_budgeted!$B$2:$G$2,0))&gt;0,MIN('Vaal-Orange CMA'!D67,E_budgeted!D266),'Vaal-Orange CMA'!D67)</f>
        <v>1078147.2294458873</v>
      </c>
      <c r="E206" s="32">
        <f>IF(INDEX(E_budgeted!$B$3:$G$13,MATCH($A206,E_budgeted!$A$3:$A$13,0),MATCH($A$180,E_budgeted!$B$2:$G$2,0))&gt;0,MIN('Vaal-Orange CMA'!E67,E_budgeted!E266),'Vaal-Orange CMA'!E67)</f>
        <v>1078147.2294458873</v>
      </c>
      <c r="F206" s="32">
        <f>IF(INDEX(E_budgeted!$B$3:$G$13,MATCH($A206,E_budgeted!$A$3:$A$13,0),MATCH($A$180,E_budgeted!$B$2:$G$2,0))&gt;0,MIN('Vaal-Orange CMA'!F67,E_budgeted!F266),'Vaal-Orange CMA'!F67)</f>
        <v>1078147.2294458873</v>
      </c>
      <c r="G206" s="32">
        <f>IF(INDEX(E_budgeted!$B$3:$G$13,MATCH($A206,E_budgeted!$A$3:$A$13,0),MATCH($A$180,E_budgeted!$B$2:$G$2,0))&gt;0,MIN('Vaal-Orange CMA'!G67,E_budgeted!G266),'Vaal-Orange CMA'!G67)</f>
        <v>1078147.2294458873</v>
      </c>
      <c r="H206" s="32">
        <f>IF(INDEX(E_budgeted!$B$3:$G$13,MATCH($A206,E_budgeted!$A$3:$A$13,0),MATCH($A$180,E_budgeted!$B$2:$G$2,0))&gt;0,MIN('Vaal-Orange CMA'!H67,E_budgeted!H266),'Vaal-Orange CMA'!H67)</f>
        <v>1078147.2294458873</v>
      </c>
      <c r="I206" s="32">
        <f>IF(INDEX(E_budgeted!$B$3:$G$13,MATCH($A206,E_budgeted!$A$3:$A$13,0),MATCH($A$180,E_budgeted!$B$2:$G$2,0))&gt;0,MIN('Vaal-Orange CMA'!I67,E_budgeted!I266),'Vaal-Orange CMA'!I67)</f>
        <v>1078147.2294458873</v>
      </c>
      <c r="J206" s="32">
        <f>IF(INDEX(E_budgeted!$B$3:$G$13,MATCH($A206,E_budgeted!$A$3:$A$13,0),MATCH($A$180,E_budgeted!$B$2:$G$2,0))&gt;0,MIN('Vaal-Orange CMA'!J67,E_budgeted!J266),'Vaal-Orange CMA'!J67)</f>
        <v>1078147.2294458873</v>
      </c>
      <c r="K206" s="32">
        <f>IF(INDEX(E_budgeted!$B$3:$G$13,MATCH($A206,E_budgeted!$A$3:$A$13,0),MATCH($A$180,E_budgeted!$B$2:$G$2,0))&gt;0,MIN('Vaal-Orange CMA'!K67,E_budgeted!K266),'Vaal-Orange CMA'!K67)</f>
        <v>1078147.2294458873</v>
      </c>
      <c r="L206" s="5">
        <f t="shared" si="136"/>
        <v>1078147.2294458875</v>
      </c>
    </row>
    <row r="207" spans="1:12" x14ac:dyDescent="0.25">
      <c r="A207" s="4" t="s">
        <v>15</v>
      </c>
      <c r="B207" s="13">
        <f>IF(INDEX(E_budgeted!$B$3:$G$13,MATCH($A207,E_budgeted!$A$3:$A$13,0),MATCH($A$180,E_budgeted!$B$2:$G$2,0))&gt;0,MIN('Vaal-Orange CMA'!B68,E_budgeted!B267),'Vaal-Orange CMA'!B68)</f>
        <v>21987819.215</v>
      </c>
      <c r="C207" s="13">
        <f>IF(INDEX(E_budgeted!$B$3:$G$13,MATCH($A207,E_budgeted!$A$3:$A$13,0),MATCH($A$180,E_budgeted!$B$2:$G$2,0))&gt;0,MIN('Vaal-Orange CMA'!C68,E_budgeted!C267),'Vaal-Orange CMA'!C68)</f>
        <v>21987819.215</v>
      </c>
      <c r="D207" s="13">
        <f>IF(INDEX(E_budgeted!$B$3:$G$13,MATCH($A207,E_budgeted!$A$3:$A$13,0),MATCH($A$180,E_budgeted!$B$2:$G$2,0))&gt;0,MIN('Vaal-Orange CMA'!D68,E_budgeted!D267),'Vaal-Orange CMA'!D68)</f>
        <v>21987819.215</v>
      </c>
      <c r="E207" s="13">
        <f>IF(INDEX(E_budgeted!$B$3:$G$13,MATCH($A207,E_budgeted!$A$3:$A$13,0),MATCH($A$180,E_budgeted!$B$2:$G$2,0))&gt;0,MIN('Vaal-Orange CMA'!E68,E_budgeted!E267),'Vaal-Orange CMA'!E68)</f>
        <v>21987819.215</v>
      </c>
      <c r="F207" s="13">
        <f>IF(INDEX(E_budgeted!$B$3:$G$13,MATCH($A207,E_budgeted!$A$3:$A$13,0),MATCH($A$180,E_budgeted!$B$2:$G$2,0))&gt;0,MIN('Vaal-Orange CMA'!F68,E_budgeted!F267),'Vaal-Orange CMA'!F68)</f>
        <v>21987819.215</v>
      </c>
      <c r="G207" s="13">
        <f>IF(INDEX(E_budgeted!$B$3:$G$13,MATCH($A207,E_budgeted!$A$3:$A$13,0),MATCH($A$180,E_budgeted!$B$2:$G$2,0))&gt;0,MIN('Vaal-Orange CMA'!G68,E_budgeted!G267),'Vaal-Orange CMA'!G68)</f>
        <v>21987819.215</v>
      </c>
      <c r="H207" s="13">
        <f>IF(INDEX(E_budgeted!$B$3:$G$13,MATCH($A207,E_budgeted!$A$3:$A$13,0),MATCH($A$180,E_budgeted!$B$2:$G$2,0))&gt;0,MIN('Vaal-Orange CMA'!H68,E_budgeted!H267),'Vaal-Orange CMA'!H68)</f>
        <v>21987819.215</v>
      </c>
      <c r="I207" s="13">
        <f>IF(INDEX(E_budgeted!$B$3:$G$13,MATCH($A207,E_budgeted!$A$3:$A$13,0),MATCH($A$180,E_budgeted!$B$2:$G$2,0))&gt;0,MIN('Vaal-Orange CMA'!I68,E_budgeted!I267),'Vaal-Orange CMA'!I68)</f>
        <v>21987819.215</v>
      </c>
      <c r="J207" s="13">
        <f>IF(INDEX(E_budgeted!$B$3:$G$13,MATCH($A207,E_budgeted!$A$3:$A$13,0),MATCH($A$180,E_budgeted!$B$2:$G$2,0))&gt;0,MIN('Vaal-Orange CMA'!J68,E_budgeted!J267),'Vaal-Orange CMA'!J68)</f>
        <v>21987819.215</v>
      </c>
      <c r="K207" s="13">
        <f>IF(INDEX(E_budgeted!$B$3:$G$13,MATCH($A207,E_budgeted!$A$3:$A$13,0),MATCH($A$180,E_budgeted!$B$2:$G$2,0))&gt;0,MIN('Vaal-Orange CMA'!K68,E_budgeted!K267),'Vaal-Orange CMA'!K68)</f>
        <v>21987819.215</v>
      </c>
      <c r="L207" s="5">
        <f t="shared" si="136"/>
        <v>21987819.215</v>
      </c>
    </row>
    <row r="208" spans="1:12" x14ac:dyDescent="0.25">
      <c r="B208" s="5">
        <f t="shared" ref="B208:K208" si="137">SUM(B197:B207)</f>
        <v>68825463.581668153</v>
      </c>
      <c r="C208" s="5">
        <f t="shared" si="137"/>
        <v>68825463.581668153</v>
      </c>
      <c r="D208" s="5">
        <f t="shared" si="137"/>
        <v>68825463.581668153</v>
      </c>
      <c r="E208" s="5">
        <f t="shared" si="137"/>
        <v>68825463.581668153</v>
      </c>
      <c r="F208" s="5">
        <f t="shared" si="137"/>
        <v>68825463.581668153</v>
      </c>
      <c r="G208" s="5">
        <f t="shared" si="137"/>
        <v>68825463.581668153</v>
      </c>
      <c r="H208" s="5">
        <f t="shared" si="137"/>
        <v>68825463.581668153</v>
      </c>
      <c r="I208" s="5">
        <f t="shared" si="137"/>
        <v>68825463.581668153</v>
      </c>
      <c r="J208" s="5">
        <f t="shared" si="137"/>
        <v>68825463.581668153</v>
      </c>
      <c r="K208" s="5">
        <f t="shared" si="137"/>
        <v>68825463.581668153</v>
      </c>
      <c r="L208" s="5"/>
    </row>
    <row r="209" spans="1:12" x14ac:dyDescent="0.25">
      <c r="B209" s="16">
        <f>B208/$B$194</f>
        <v>0.38746035875093027</v>
      </c>
      <c r="C209" s="5"/>
      <c r="D209" s="5"/>
      <c r="E209" s="5"/>
      <c r="F209" s="5"/>
      <c r="G209" s="5"/>
      <c r="H209" s="5"/>
      <c r="I209" s="5"/>
      <c r="J209" s="5"/>
      <c r="K209" s="5"/>
      <c r="L209" s="5"/>
    </row>
    <row r="211" spans="1:12" ht="30" x14ac:dyDescent="0.25">
      <c r="A211" s="15" t="s">
        <v>57</v>
      </c>
      <c r="B211" s="12" t="str">
        <f>'Summary dashboard'!C4</f>
        <v>2023</v>
      </c>
      <c r="C211" s="12">
        <f t="shared" ref="C211" si="138">B211+1</f>
        <v>2024</v>
      </c>
      <c r="D211" s="12">
        <f t="shared" ref="D211" si="139">C211+1</f>
        <v>2025</v>
      </c>
      <c r="E211" s="12">
        <f t="shared" ref="E211" si="140">D211+1</f>
        <v>2026</v>
      </c>
      <c r="F211" s="12">
        <f t="shared" ref="F211" si="141">E211+1</f>
        <v>2027</v>
      </c>
      <c r="G211" s="12">
        <f t="shared" ref="G211" si="142">F211+1</f>
        <v>2028</v>
      </c>
      <c r="H211" s="12">
        <f t="shared" ref="H211" si="143">G211+1</f>
        <v>2029</v>
      </c>
      <c r="I211" s="12">
        <f t="shared" ref="I211" si="144">H211+1</f>
        <v>2030</v>
      </c>
      <c r="J211" s="12">
        <f t="shared" ref="J211" si="145">I211+1</f>
        <v>2031</v>
      </c>
      <c r="K211" s="12">
        <f t="shared" ref="K211" si="146">J211+1</f>
        <v>2032</v>
      </c>
      <c r="L211" s="1" t="s">
        <v>28</v>
      </c>
    </row>
    <row r="212" spans="1:12" x14ac:dyDescent="0.25">
      <c r="A212" s="4" t="s">
        <v>35</v>
      </c>
      <c r="B212" s="32">
        <f>IF(INDEX(E_budgeted!$B$3:$G$13,MATCH($A212,E_budgeted!$A$3:$A$13,0),MATCH($A$180,E_budgeted!$B$2:$G$2,0))&gt;0,MIN('Vaal-Orange CMA'!B73,E_budgeted!B272),'Vaal-Orange CMA'!B73)</f>
        <v>5490299.7238020003</v>
      </c>
      <c r="C212" s="32">
        <f>IF(INDEX(E_budgeted!$B$3:$G$13,MATCH($A212,E_budgeted!$A$3:$A$13,0),MATCH($A$180,E_budgeted!$B$2:$G$2,0))&gt;0,MIN('Vaal-Orange CMA'!C73,E_budgeted!C272),'Vaal-Orange CMA'!C73)</f>
        <v>5490299.7238020003</v>
      </c>
      <c r="D212" s="32">
        <f>IF(INDEX(E_budgeted!$B$3:$G$13,MATCH($A212,E_budgeted!$A$3:$A$13,0),MATCH($A$180,E_budgeted!$B$2:$G$2,0))&gt;0,MIN('Vaal-Orange CMA'!D73,E_budgeted!D272),'Vaal-Orange CMA'!D73)</f>
        <v>5490299.7238020003</v>
      </c>
      <c r="E212" s="32">
        <f>IF(INDEX(E_budgeted!$B$3:$G$13,MATCH($A212,E_budgeted!$A$3:$A$13,0),MATCH($A$180,E_budgeted!$B$2:$G$2,0))&gt;0,MIN('Vaal-Orange CMA'!E73,E_budgeted!E272),'Vaal-Orange CMA'!E73)</f>
        <v>5490299.7238020003</v>
      </c>
      <c r="F212" s="32">
        <f>IF(INDEX(E_budgeted!$B$3:$G$13,MATCH($A212,E_budgeted!$A$3:$A$13,0),MATCH($A$180,E_budgeted!$B$2:$G$2,0))&gt;0,MIN('Vaal-Orange CMA'!F73,E_budgeted!F272),'Vaal-Orange CMA'!F73)</f>
        <v>5490299.7238020003</v>
      </c>
      <c r="G212" s="32">
        <f>IF(INDEX(E_budgeted!$B$3:$G$13,MATCH($A212,E_budgeted!$A$3:$A$13,0),MATCH($A$180,E_budgeted!$B$2:$G$2,0))&gt;0,MIN('Vaal-Orange CMA'!G73,E_budgeted!G272),'Vaal-Orange CMA'!G73)</f>
        <v>5490299.7238020003</v>
      </c>
      <c r="H212" s="32">
        <f>IF(INDEX(E_budgeted!$B$3:$G$13,MATCH($A212,E_budgeted!$A$3:$A$13,0),MATCH($A$180,E_budgeted!$B$2:$G$2,0))&gt;0,MIN('Vaal-Orange CMA'!H73,E_budgeted!H272),'Vaal-Orange CMA'!H73)</f>
        <v>5490299.7238020003</v>
      </c>
      <c r="I212" s="32">
        <f>IF(INDEX(E_budgeted!$B$3:$G$13,MATCH($A212,E_budgeted!$A$3:$A$13,0),MATCH($A$180,E_budgeted!$B$2:$G$2,0))&gt;0,MIN('Vaal-Orange CMA'!I73,E_budgeted!I272),'Vaal-Orange CMA'!I73)</f>
        <v>5490299.7238020003</v>
      </c>
      <c r="J212" s="32">
        <f>IF(INDEX(E_budgeted!$B$3:$G$13,MATCH($A212,E_budgeted!$A$3:$A$13,0),MATCH($A$180,E_budgeted!$B$2:$G$2,0))&gt;0,MIN('Vaal-Orange CMA'!J73,E_budgeted!J272),'Vaal-Orange CMA'!J73)</f>
        <v>5490299.7238020003</v>
      </c>
      <c r="K212" s="32">
        <f>IF(INDEX(E_budgeted!$B$3:$G$13,MATCH($A212,E_budgeted!$A$3:$A$13,0),MATCH($A$180,E_budgeted!$B$2:$G$2,0))&gt;0,MIN('Vaal-Orange CMA'!K73,E_budgeted!K272),'Vaal-Orange CMA'!K73)</f>
        <v>5490299.7238020003</v>
      </c>
      <c r="L212" s="5">
        <f>AVERAGE(B212:K212)</f>
        <v>5490299.7238020003</v>
      </c>
    </row>
    <row r="213" spans="1:12" x14ac:dyDescent="0.25">
      <c r="A213" s="4" t="s">
        <v>36</v>
      </c>
      <c r="B213" s="32">
        <f>IF(INDEX(E_budgeted!$B$3:$G$13,MATCH($A213,E_budgeted!$A$3:$A$13,0),MATCH($A$180,E_budgeted!$B$2:$G$2,0))&gt;0,MIN('Vaal-Orange CMA'!B74,E_budgeted!B273),'Vaal-Orange CMA'!B74)</f>
        <v>919684.43790000014</v>
      </c>
      <c r="C213" s="32">
        <f>IF(INDEX(E_budgeted!$B$3:$G$13,MATCH($A213,E_budgeted!$A$3:$A$13,0),MATCH($A$180,E_budgeted!$B$2:$G$2,0))&gt;0,MIN('Vaal-Orange CMA'!C74,E_budgeted!C273),'Vaal-Orange CMA'!C74)</f>
        <v>919684.43790000014</v>
      </c>
      <c r="D213" s="32">
        <f>IF(INDEX(E_budgeted!$B$3:$G$13,MATCH($A213,E_budgeted!$A$3:$A$13,0),MATCH($A$180,E_budgeted!$B$2:$G$2,0))&gt;0,MIN('Vaal-Orange CMA'!D74,E_budgeted!D273),'Vaal-Orange CMA'!D74)</f>
        <v>919684.43790000014</v>
      </c>
      <c r="E213" s="32">
        <f>IF(INDEX(E_budgeted!$B$3:$G$13,MATCH($A213,E_budgeted!$A$3:$A$13,0),MATCH($A$180,E_budgeted!$B$2:$G$2,0))&gt;0,MIN('Vaal-Orange CMA'!E74,E_budgeted!E273),'Vaal-Orange CMA'!E74)</f>
        <v>919684.43790000014</v>
      </c>
      <c r="F213" s="32">
        <f>IF(INDEX(E_budgeted!$B$3:$G$13,MATCH($A213,E_budgeted!$A$3:$A$13,0),MATCH($A$180,E_budgeted!$B$2:$G$2,0))&gt;0,MIN('Vaal-Orange CMA'!F74,E_budgeted!F273),'Vaal-Orange CMA'!F74)</f>
        <v>919684.43790000014</v>
      </c>
      <c r="G213" s="32">
        <f>IF(INDEX(E_budgeted!$B$3:$G$13,MATCH($A213,E_budgeted!$A$3:$A$13,0),MATCH($A$180,E_budgeted!$B$2:$G$2,0))&gt;0,MIN('Vaal-Orange CMA'!G74,E_budgeted!G273),'Vaal-Orange CMA'!G74)</f>
        <v>919684.43790000014</v>
      </c>
      <c r="H213" s="32">
        <f>IF(INDEX(E_budgeted!$B$3:$G$13,MATCH($A213,E_budgeted!$A$3:$A$13,0),MATCH($A$180,E_budgeted!$B$2:$G$2,0))&gt;0,MIN('Vaal-Orange CMA'!H74,E_budgeted!H273),'Vaal-Orange CMA'!H74)</f>
        <v>919684.43790000014</v>
      </c>
      <c r="I213" s="32">
        <f>IF(INDEX(E_budgeted!$B$3:$G$13,MATCH($A213,E_budgeted!$A$3:$A$13,0),MATCH($A$180,E_budgeted!$B$2:$G$2,0))&gt;0,MIN('Vaal-Orange CMA'!I74,E_budgeted!I273),'Vaal-Orange CMA'!I74)</f>
        <v>919684.43790000014</v>
      </c>
      <c r="J213" s="32">
        <f>IF(INDEX(E_budgeted!$B$3:$G$13,MATCH($A213,E_budgeted!$A$3:$A$13,0),MATCH($A$180,E_budgeted!$B$2:$G$2,0))&gt;0,MIN('Vaal-Orange CMA'!J74,E_budgeted!J273),'Vaal-Orange CMA'!J74)</f>
        <v>919684.43790000014</v>
      </c>
      <c r="K213" s="32">
        <f>IF(INDEX(E_budgeted!$B$3:$G$13,MATCH($A213,E_budgeted!$A$3:$A$13,0),MATCH($A$180,E_budgeted!$B$2:$G$2,0))&gt;0,MIN('Vaal-Orange CMA'!K74,E_budgeted!K273),'Vaal-Orange CMA'!K74)</f>
        <v>919684.43790000014</v>
      </c>
      <c r="L213" s="5">
        <f t="shared" ref="L213:L222" si="147">AVERAGE(B213:K213)</f>
        <v>919684.43790000002</v>
      </c>
    </row>
    <row r="214" spans="1:12" x14ac:dyDescent="0.25">
      <c r="A214" s="4" t="s">
        <v>11</v>
      </c>
      <c r="B214" s="32">
        <f>IF(INDEX(E_budgeted!$B$3:$G$13,MATCH($A214,E_budgeted!$A$3:$A$13,0),MATCH($A$180,E_budgeted!$B$2:$G$2,0))&gt;0,MIN('Vaal-Orange CMA'!B75,E_budgeted!B274),'Vaal-Orange CMA'!B75)</f>
        <v>0</v>
      </c>
      <c r="C214" s="32">
        <f>IF(INDEX(E_budgeted!$B$3:$G$13,MATCH($A214,E_budgeted!$A$3:$A$13,0),MATCH($A$180,E_budgeted!$B$2:$G$2,0))&gt;0,MIN('Vaal-Orange CMA'!C75,E_budgeted!C274),'Vaal-Orange CMA'!C75)</f>
        <v>0</v>
      </c>
      <c r="D214" s="32">
        <f>IF(INDEX(E_budgeted!$B$3:$G$13,MATCH($A214,E_budgeted!$A$3:$A$13,0),MATCH($A$180,E_budgeted!$B$2:$G$2,0))&gt;0,MIN('Vaal-Orange CMA'!D75,E_budgeted!D274),'Vaal-Orange CMA'!D75)</f>
        <v>0</v>
      </c>
      <c r="E214" s="32">
        <f>IF(INDEX(E_budgeted!$B$3:$G$13,MATCH($A214,E_budgeted!$A$3:$A$13,0),MATCH($A$180,E_budgeted!$B$2:$G$2,0))&gt;0,MIN('Vaal-Orange CMA'!E75,E_budgeted!E274),'Vaal-Orange CMA'!E75)</f>
        <v>0</v>
      </c>
      <c r="F214" s="32">
        <f>IF(INDEX(E_budgeted!$B$3:$G$13,MATCH($A214,E_budgeted!$A$3:$A$13,0),MATCH($A$180,E_budgeted!$B$2:$G$2,0))&gt;0,MIN('Vaal-Orange CMA'!F75,E_budgeted!F274),'Vaal-Orange CMA'!F75)</f>
        <v>0</v>
      </c>
      <c r="G214" s="32">
        <f>IF(INDEX(E_budgeted!$B$3:$G$13,MATCH($A214,E_budgeted!$A$3:$A$13,0),MATCH($A$180,E_budgeted!$B$2:$G$2,0))&gt;0,MIN('Vaal-Orange CMA'!G75,E_budgeted!G274),'Vaal-Orange CMA'!G75)</f>
        <v>0</v>
      </c>
      <c r="H214" s="32">
        <f>IF(INDEX(E_budgeted!$B$3:$G$13,MATCH($A214,E_budgeted!$A$3:$A$13,0),MATCH($A$180,E_budgeted!$B$2:$G$2,0))&gt;0,MIN('Vaal-Orange CMA'!H75,E_budgeted!H274),'Vaal-Orange CMA'!H75)</f>
        <v>0</v>
      </c>
      <c r="I214" s="32">
        <f>IF(INDEX(E_budgeted!$B$3:$G$13,MATCH($A214,E_budgeted!$A$3:$A$13,0),MATCH($A$180,E_budgeted!$B$2:$G$2,0))&gt;0,MIN('Vaal-Orange CMA'!I75,E_budgeted!I274),'Vaal-Orange CMA'!I75)</f>
        <v>0</v>
      </c>
      <c r="J214" s="32">
        <f>IF(INDEX(E_budgeted!$B$3:$G$13,MATCH($A214,E_budgeted!$A$3:$A$13,0),MATCH($A$180,E_budgeted!$B$2:$G$2,0))&gt;0,MIN('Vaal-Orange CMA'!J75,E_budgeted!J274),'Vaal-Orange CMA'!J75)</f>
        <v>0</v>
      </c>
      <c r="K214" s="32">
        <f>IF(INDEX(E_budgeted!$B$3:$G$13,MATCH($A214,E_budgeted!$A$3:$A$13,0),MATCH($A$180,E_budgeted!$B$2:$G$2,0))&gt;0,MIN('Vaal-Orange CMA'!K75,E_budgeted!K274),'Vaal-Orange CMA'!K75)</f>
        <v>0</v>
      </c>
      <c r="L214" s="5">
        <f t="shared" si="147"/>
        <v>0</v>
      </c>
    </row>
    <row r="215" spans="1:12" x14ac:dyDescent="0.25">
      <c r="A215" s="4" t="s">
        <v>124</v>
      </c>
      <c r="B215" s="32">
        <f>IF(INDEX(E_budgeted!$B$3:$G$13,MATCH($A215,E_budgeted!$A$3:$A$13,0),MATCH($A$180,E_budgeted!$B$2:$G$2,0))&gt;0,MIN('Vaal-Orange CMA'!B76,E_budgeted!B275),'Vaal-Orange CMA'!B76)</f>
        <v>3708893.6430000006</v>
      </c>
      <c r="C215" s="32">
        <f>IF(INDEX(E_budgeted!$B$3:$G$13,MATCH($A215,E_budgeted!$A$3:$A$13,0),MATCH($A$180,E_budgeted!$B$2:$G$2,0))&gt;0,MIN('Vaal-Orange CMA'!C76,E_budgeted!C275),'Vaal-Orange CMA'!C76)</f>
        <v>3708893.6430000006</v>
      </c>
      <c r="D215" s="32">
        <f>IF(INDEX(E_budgeted!$B$3:$G$13,MATCH($A215,E_budgeted!$A$3:$A$13,0),MATCH($A$180,E_budgeted!$B$2:$G$2,0))&gt;0,MIN('Vaal-Orange CMA'!D76,E_budgeted!D275),'Vaal-Orange CMA'!D76)</f>
        <v>3708893.6430000006</v>
      </c>
      <c r="E215" s="32">
        <f>IF(INDEX(E_budgeted!$B$3:$G$13,MATCH($A215,E_budgeted!$A$3:$A$13,0),MATCH($A$180,E_budgeted!$B$2:$G$2,0))&gt;0,MIN('Vaal-Orange CMA'!E76,E_budgeted!E275),'Vaal-Orange CMA'!E76)</f>
        <v>3708893.6430000006</v>
      </c>
      <c r="F215" s="32">
        <f>IF(INDEX(E_budgeted!$B$3:$G$13,MATCH($A215,E_budgeted!$A$3:$A$13,0),MATCH($A$180,E_budgeted!$B$2:$G$2,0))&gt;0,MIN('Vaal-Orange CMA'!F76,E_budgeted!F275),'Vaal-Orange CMA'!F76)</f>
        <v>3708893.6430000006</v>
      </c>
      <c r="G215" s="32">
        <f>IF(INDEX(E_budgeted!$B$3:$G$13,MATCH($A215,E_budgeted!$A$3:$A$13,0),MATCH($A$180,E_budgeted!$B$2:$G$2,0))&gt;0,MIN('Vaal-Orange CMA'!G76,E_budgeted!G275),'Vaal-Orange CMA'!G76)</f>
        <v>3708893.6430000006</v>
      </c>
      <c r="H215" s="32">
        <f>IF(INDEX(E_budgeted!$B$3:$G$13,MATCH($A215,E_budgeted!$A$3:$A$13,0),MATCH($A$180,E_budgeted!$B$2:$G$2,0))&gt;0,MIN('Vaal-Orange CMA'!H76,E_budgeted!H275),'Vaal-Orange CMA'!H76)</f>
        <v>3708893.6430000006</v>
      </c>
      <c r="I215" s="32">
        <f>IF(INDEX(E_budgeted!$B$3:$G$13,MATCH($A215,E_budgeted!$A$3:$A$13,0),MATCH($A$180,E_budgeted!$B$2:$G$2,0))&gt;0,MIN('Vaal-Orange CMA'!I76,E_budgeted!I275),'Vaal-Orange CMA'!I76)</f>
        <v>3708893.6430000006</v>
      </c>
      <c r="J215" s="32">
        <f>IF(INDEX(E_budgeted!$B$3:$G$13,MATCH($A215,E_budgeted!$A$3:$A$13,0),MATCH($A$180,E_budgeted!$B$2:$G$2,0))&gt;0,MIN('Vaal-Orange CMA'!J76,E_budgeted!J275),'Vaal-Orange CMA'!J76)</f>
        <v>3708893.6430000006</v>
      </c>
      <c r="K215" s="32">
        <f>IF(INDEX(E_budgeted!$B$3:$G$13,MATCH($A215,E_budgeted!$A$3:$A$13,0),MATCH($A$180,E_budgeted!$B$2:$G$2,0))&gt;0,MIN('Vaal-Orange CMA'!K76,E_budgeted!K275),'Vaal-Orange CMA'!K76)</f>
        <v>3708893.6430000006</v>
      </c>
      <c r="L215" s="5">
        <f t="shared" si="147"/>
        <v>3708893.6430000002</v>
      </c>
    </row>
    <row r="216" spans="1:12" x14ac:dyDescent="0.25">
      <c r="A216" s="4" t="s">
        <v>12</v>
      </c>
      <c r="B216" s="32">
        <f>IF(INDEX(E_budgeted!$B$3:$G$13,MATCH($A216,E_budgeted!$A$3:$A$13,0),MATCH($A$180,E_budgeted!$B$2:$G$2,0))&gt;0,MIN('Vaal-Orange CMA'!B77,E_budgeted!B276),'Vaal-Orange CMA'!B77)</f>
        <v>0</v>
      </c>
      <c r="C216" s="32">
        <f>IF(INDEX(E_budgeted!$B$3:$G$13,MATCH($A216,E_budgeted!$A$3:$A$13,0),MATCH($A$180,E_budgeted!$B$2:$G$2,0))&gt;0,MIN('Vaal-Orange CMA'!C77,E_budgeted!C276),'Vaal-Orange CMA'!C77)</f>
        <v>0</v>
      </c>
      <c r="D216" s="32">
        <f>IF(INDEX(E_budgeted!$B$3:$G$13,MATCH($A216,E_budgeted!$A$3:$A$13,0),MATCH($A$180,E_budgeted!$B$2:$G$2,0))&gt;0,MIN('Vaal-Orange CMA'!D77,E_budgeted!D276),'Vaal-Orange CMA'!D77)</f>
        <v>0</v>
      </c>
      <c r="E216" s="32">
        <f>IF(INDEX(E_budgeted!$B$3:$G$13,MATCH($A216,E_budgeted!$A$3:$A$13,0),MATCH($A$180,E_budgeted!$B$2:$G$2,0))&gt;0,MIN('Vaal-Orange CMA'!E77,E_budgeted!E276),'Vaal-Orange CMA'!E77)</f>
        <v>0</v>
      </c>
      <c r="F216" s="32">
        <f>IF(INDEX(E_budgeted!$B$3:$G$13,MATCH($A216,E_budgeted!$A$3:$A$13,0),MATCH($A$180,E_budgeted!$B$2:$G$2,0))&gt;0,MIN('Vaal-Orange CMA'!F77,E_budgeted!F276),'Vaal-Orange CMA'!F77)</f>
        <v>0</v>
      </c>
      <c r="G216" s="32">
        <f>IF(INDEX(E_budgeted!$B$3:$G$13,MATCH($A216,E_budgeted!$A$3:$A$13,0),MATCH($A$180,E_budgeted!$B$2:$G$2,0))&gt;0,MIN('Vaal-Orange CMA'!G77,E_budgeted!G276),'Vaal-Orange CMA'!G77)</f>
        <v>0</v>
      </c>
      <c r="H216" s="32">
        <f>IF(INDEX(E_budgeted!$B$3:$G$13,MATCH($A216,E_budgeted!$A$3:$A$13,0),MATCH($A$180,E_budgeted!$B$2:$G$2,0))&gt;0,MIN('Vaal-Orange CMA'!H77,E_budgeted!H276),'Vaal-Orange CMA'!H77)</f>
        <v>0</v>
      </c>
      <c r="I216" s="32">
        <f>IF(INDEX(E_budgeted!$B$3:$G$13,MATCH($A216,E_budgeted!$A$3:$A$13,0),MATCH($A$180,E_budgeted!$B$2:$G$2,0))&gt;0,MIN('Vaal-Orange CMA'!I77,E_budgeted!I276),'Vaal-Orange CMA'!I77)</f>
        <v>0</v>
      </c>
      <c r="J216" s="32">
        <f>IF(INDEX(E_budgeted!$B$3:$G$13,MATCH($A216,E_budgeted!$A$3:$A$13,0),MATCH($A$180,E_budgeted!$B$2:$G$2,0))&gt;0,MIN('Vaal-Orange CMA'!J77,E_budgeted!J276),'Vaal-Orange CMA'!J77)</f>
        <v>0</v>
      </c>
      <c r="K216" s="32">
        <f>IF(INDEX(E_budgeted!$B$3:$G$13,MATCH($A216,E_budgeted!$A$3:$A$13,0),MATCH($A$180,E_budgeted!$B$2:$G$2,0))&gt;0,MIN('Vaal-Orange CMA'!K77,E_budgeted!K276),'Vaal-Orange CMA'!K77)</f>
        <v>0</v>
      </c>
      <c r="L216" s="5">
        <f t="shared" si="147"/>
        <v>0</v>
      </c>
    </row>
    <row r="217" spans="1:12" x14ac:dyDescent="0.25">
      <c r="A217" s="4" t="s">
        <v>13</v>
      </c>
      <c r="B217" s="32">
        <f>IF(INDEX(E_budgeted!$B$3:$G$13,MATCH($A217,E_budgeted!$A$3:$A$13,0),MATCH($A$180,E_budgeted!$B$2:$G$2,0))&gt;0,MIN('Vaal-Orange CMA'!B78,E_budgeted!B277),'Vaal-Orange CMA'!B78)</f>
        <v>0</v>
      </c>
      <c r="C217" s="32">
        <f>IF(INDEX(E_budgeted!$B$3:$G$13,MATCH($A217,E_budgeted!$A$3:$A$13,0),MATCH($A$180,E_budgeted!$B$2:$G$2,0))&gt;0,MIN('Vaal-Orange CMA'!C78,E_budgeted!C277),'Vaal-Orange CMA'!C78)</f>
        <v>0</v>
      </c>
      <c r="D217" s="32">
        <f>IF(INDEX(E_budgeted!$B$3:$G$13,MATCH($A217,E_budgeted!$A$3:$A$13,0),MATCH($A$180,E_budgeted!$B$2:$G$2,0))&gt;0,MIN('Vaal-Orange CMA'!D78,E_budgeted!D277),'Vaal-Orange CMA'!D78)</f>
        <v>0</v>
      </c>
      <c r="E217" s="32">
        <f>IF(INDEX(E_budgeted!$B$3:$G$13,MATCH($A217,E_budgeted!$A$3:$A$13,0),MATCH($A$180,E_budgeted!$B$2:$G$2,0))&gt;0,MIN('Vaal-Orange CMA'!E78,E_budgeted!E277),'Vaal-Orange CMA'!E78)</f>
        <v>0</v>
      </c>
      <c r="F217" s="32">
        <f>IF(INDEX(E_budgeted!$B$3:$G$13,MATCH($A217,E_budgeted!$A$3:$A$13,0),MATCH($A$180,E_budgeted!$B$2:$G$2,0))&gt;0,MIN('Vaal-Orange CMA'!F78,E_budgeted!F277),'Vaal-Orange CMA'!F78)</f>
        <v>0</v>
      </c>
      <c r="G217" s="32">
        <f>IF(INDEX(E_budgeted!$B$3:$G$13,MATCH($A217,E_budgeted!$A$3:$A$13,0),MATCH($A$180,E_budgeted!$B$2:$G$2,0))&gt;0,MIN('Vaal-Orange CMA'!G78,E_budgeted!G277),'Vaal-Orange CMA'!G78)</f>
        <v>0</v>
      </c>
      <c r="H217" s="32">
        <f>IF(INDEX(E_budgeted!$B$3:$G$13,MATCH($A217,E_budgeted!$A$3:$A$13,0),MATCH($A$180,E_budgeted!$B$2:$G$2,0))&gt;0,MIN('Vaal-Orange CMA'!H78,E_budgeted!H277),'Vaal-Orange CMA'!H78)</f>
        <v>0</v>
      </c>
      <c r="I217" s="32">
        <f>IF(INDEX(E_budgeted!$B$3:$G$13,MATCH($A217,E_budgeted!$A$3:$A$13,0),MATCH($A$180,E_budgeted!$B$2:$G$2,0))&gt;0,MIN('Vaal-Orange CMA'!I78,E_budgeted!I277),'Vaal-Orange CMA'!I78)</f>
        <v>0</v>
      </c>
      <c r="J217" s="32">
        <f>IF(INDEX(E_budgeted!$B$3:$G$13,MATCH($A217,E_budgeted!$A$3:$A$13,0),MATCH($A$180,E_budgeted!$B$2:$G$2,0))&gt;0,MIN('Vaal-Orange CMA'!J78,E_budgeted!J277),'Vaal-Orange CMA'!J78)</f>
        <v>0</v>
      </c>
      <c r="K217" s="32">
        <f>IF(INDEX(E_budgeted!$B$3:$G$13,MATCH($A217,E_budgeted!$A$3:$A$13,0),MATCH($A$180,E_budgeted!$B$2:$G$2,0))&gt;0,MIN('Vaal-Orange CMA'!K78,E_budgeted!K277),'Vaal-Orange CMA'!K78)</f>
        <v>0</v>
      </c>
      <c r="L217" s="5">
        <f t="shared" si="147"/>
        <v>0</v>
      </c>
    </row>
    <row r="218" spans="1:12" x14ac:dyDescent="0.25">
      <c r="A218" s="4" t="s">
        <v>14</v>
      </c>
      <c r="B218" s="32">
        <f>IF(INDEX(E_budgeted!$B$3:$G$13,MATCH($A218,E_budgeted!$A$3:$A$13,0),MATCH($A$180,E_budgeted!$B$2:$G$2,0))&gt;0,MIN('Vaal-Orange CMA'!B79,E_budgeted!B278),'Vaal-Orange CMA'!B79)</f>
        <v>0</v>
      </c>
      <c r="C218" s="32">
        <f>IF(INDEX(E_budgeted!$B$3:$G$13,MATCH($A218,E_budgeted!$A$3:$A$13,0),MATCH($A$180,E_budgeted!$B$2:$G$2,0))&gt;0,MIN('Vaal-Orange CMA'!C79,E_budgeted!C278),'Vaal-Orange CMA'!C79)</f>
        <v>0</v>
      </c>
      <c r="D218" s="32">
        <f>IF(INDEX(E_budgeted!$B$3:$G$13,MATCH($A218,E_budgeted!$A$3:$A$13,0),MATCH($A$180,E_budgeted!$B$2:$G$2,0))&gt;0,MIN('Vaal-Orange CMA'!D79,E_budgeted!D278),'Vaal-Orange CMA'!D79)</f>
        <v>0</v>
      </c>
      <c r="E218" s="32">
        <f>IF(INDEX(E_budgeted!$B$3:$G$13,MATCH($A218,E_budgeted!$A$3:$A$13,0),MATCH($A$180,E_budgeted!$B$2:$G$2,0))&gt;0,MIN('Vaal-Orange CMA'!E79,E_budgeted!E278),'Vaal-Orange CMA'!E79)</f>
        <v>0</v>
      </c>
      <c r="F218" s="32">
        <f>IF(INDEX(E_budgeted!$B$3:$G$13,MATCH($A218,E_budgeted!$A$3:$A$13,0),MATCH($A$180,E_budgeted!$B$2:$G$2,0))&gt;0,MIN('Vaal-Orange CMA'!F79,E_budgeted!F278),'Vaal-Orange CMA'!F79)</f>
        <v>0</v>
      </c>
      <c r="G218" s="32">
        <f>IF(INDEX(E_budgeted!$B$3:$G$13,MATCH($A218,E_budgeted!$A$3:$A$13,0),MATCH($A$180,E_budgeted!$B$2:$G$2,0))&gt;0,MIN('Vaal-Orange CMA'!G79,E_budgeted!G278),'Vaal-Orange CMA'!G79)</f>
        <v>0</v>
      </c>
      <c r="H218" s="32">
        <f>IF(INDEX(E_budgeted!$B$3:$G$13,MATCH($A218,E_budgeted!$A$3:$A$13,0),MATCH($A$180,E_budgeted!$B$2:$G$2,0))&gt;0,MIN('Vaal-Orange CMA'!H79,E_budgeted!H278),'Vaal-Orange CMA'!H79)</f>
        <v>0</v>
      </c>
      <c r="I218" s="32">
        <f>IF(INDEX(E_budgeted!$B$3:$G$13,MATCH($A218,E_budgeted!$A$3:$A$13,0),MATCH($A$180,E_budgeted!$B$2:$G$2,0))&gt;0,MIN('Vaal-Orange CMA'!I79,E_budgeted!I278),'Vaal-Orange CMA'!I79)</f>
        <v>0</v>
      </c>
      <c r="J218" s="32">
        <f>IF(INDEX(E_budgeted!$B$3:$G$13,MATCH($A218,E_budgeted!$A$3:$A$13,0),MATCH($A$180,E_budgeted!$B$2:$G$2,0))&gt;0,MIN('Vaal-Orange CMA'!J79,E_budgeted!J278),'Vaal-Orange CMA'!J79)</f>
        <v>0</v>
      </c>
      <c r="K218" s="32">
        <f>IF(INDEX(E_budgeted!$B$3:$G$13,MATCH($A218,E_budgeted!$A$3:$A$13,0),MATCH($A$180,E_budgeted!$B$2:$G$2,0))&gt;0,MIN('Vaal-Orange CMA'!K79,E_budgeted!K278),'Vaal-Orange CMA'!K79)</f>
        <v>0</v>
      </c>
      <c r="L218" s="5">
        <f t="shared" si="147"/>
        <v>0</v>
      </c>
    </row>
    <row r="219" spans="1:12" x14ac:dyDescent="0.25">
      <c r="A219" s="4" t="s">
        <v>125</v>
      </c>
      <c r="B219" s="32">
        <f>IF(INDEX(E_budgeted!$B$3:$G$13,MATCH($A219,E_budgeted!$A$3:$A$13,0),MATCH($A$180,E_budgeted!$B$2:$G$2,0))&gt;0,MIN('Vaal-Orange CMA'!B80,E_budgeted!B279),'Vaal-Orange CMA'!B80)</f>
        <v>1659015.4134612025</v>
      </c>
      <c r="C219" s="32">
        <f>IF(INDEX(E_budgeted!$B$3:$G$13,MATCH($A219,E_budgeted!$A$3:$A$13,0),MATCH($A$180,E_budgeted!$B$2:$G$2,0))&gt;0,MIN('Vaal-Orange CMA'!C80,E_budgeted!C279),'Vaal-Orange CMA'!C80)</f>
        <v>1659015.4134612025</v>
      </c>
      <c r="D219" s="32">
        <f>IF(INDEX(E_budgeted!$B$3:$G$13,MATCH($A219,E_budgeted!$A$3:$A$13,0),MATCH($A$180,E_budgeted!$B$2:$G$2,0))&gt;0,MIN('Vaal-Orange CMA'!D80,E_budgeted!D279),'Vaal-Orange CMA'!D80)</f>
        <v>1659015.4134612025</v>
      </c>
      <c r="E219" s="32">
        <f>IF(INDEX(E_budgeted!$B$3:$G$13,MATCH($A219,E_budgeted!$A$3:$A$13,0),MATCH($A$180,E_budgeted!$B$2:$G$2,0))&gt;0,MIN('Vaal-Orange CMA'!E80,E_budgeted!E279),'Vaal-Orange CMA'!E80)</f>
        <v>1659015.4134612025</v>
      </c>
      <c r="F219" s="32">
        <f>IF(INDEX(E_budgeted!$B$3:$G$13,MATCH($A219,E_budgeted!$A$3:$A$13,0),MATCH($A$180,E_budgeted!$B$2:$G$2,0))&gt;0,MIN('Vaal-Orange CMA'!F80,E_budgeted!F279),'Vaal-Orange CMA'!F80)</f>
        <v>1659015.4134612025</v>
      </c>
      <c r="G219" s="32">
        <f>IF(INDEX(E_budgeted!$B$3:$G$13,MATCH($A219,E_budgeted!$A$3:$A$13,0),MATCH($A$180,E_budgeted!$B$2:$G$2,0))&gt;0,MIN('Vaal-Orange CMA'!G80,E_budgeted!G279),'Vaal-Orange CMA'!G80)</f>
        <v>1659015.4134612025</v>
      </c>
      <c r="H219" s="32">
        <f>IF(INDEX(E_budgeted!$B$3:$G$13,MATCH($A219,E_budgeted!$A$3:$A$13,0),MATCH($A$180,E_budgeted!$B$2:$G$2,0))&gt;0,MIN('Vaal-Orange CMA'!H80,E_budgeted!H279),'Vaal-Orange CMA'!H80)</f>
        <v>1659015.4134612025</v>
      </c>
      <c r="I219" s="32">
        <f>IF(INDEX(E_budgeted!$B$3:$G$13,MATCH($A219,E_budgeted!$A$3:$A$13,0),MATCH($A$180,E_budgeted!$B$2:$G$2,0))&gt;0,MIN('Vaal-Orange CMA'!I80,E_budgeted!I279),'Vaal-Orange CMA'!I80)</f>
        <v>1659015.4134612025</v>
      </c>
      <c r="J219" s="32">
        <f>IF(INDEX(E_budgeted!$B$3:$G$13,MATCH($A219,E_budgeted!$A$3:$A$13,0),MATCH($A$180,E_budgeted!$B$2:$G$2,0))&gt;0,MIN('Vaal-Orange CMA'!J80,E_budgeted!J279),'Vaal-Orange CMA'!J80)</f>
        <v>1659015.4134612025</v>
      </c>
      <c r="K219" s="32">
        <f>IF(INDEX(E_budgeted!$B$3:$G$13,MATCH($A219,E_budgeted!$A$3:$A$13,0),MATCH($A$180,E_budgeted!$B$2:$G$2,0))&gt;0,MIN('Vaal-Orange CMA'!K80,E_budgeted!K279),'Vaal-Orange CMA'!K80)</f>
        <v>1659015.4134612025</v>
      </c>
      <c r="L219" s="5">
        <f t="shared" si="147"/>
        <v>1659015.4134612025</v>
      </c>
    </row>
    <row r="220" spans="1:12" x14ac:dyDescent="0.25">
      <c r="A220" s="4" t="s">
        <v>37</v>
      </c>
      <c r="B220" s="32">
        <f>IF(INDEX(E_budgeted!$B$3:$G$13,MATCH($A220,E_budgeted!$A$3:$A$13,0),MATCH($A$180,E_budgeted!$B$2:$G$2,0))&gt;0,MIN('Vaal-Orange CMA'!B81,E_budgeted!B280),'Vaal-Orange CMA'!B81)</f>
        <v>16239341.374992</v>
      </c>
      <c r="C220" s="32">
        <f>IF(INDEX(E_budgeted!$B$3:$G$13,MATCH($A220,E_budgeted!$A$3:$A$13,0),MATCH($A$180,E_budgeted!$B$2:$G$2,0))&gt;0,MIN('Vaal-Orange CMA'!C81,E_budgeted!C280),'Vaal-Orange CMA'!C81)</f>
        <v>16239341.374992</v>
      </c>
      <c r="D220" s="32">
        <f>IF(INDEX(E_budgeted!$B$3:$G$13,MATCH($A220,E_budgeted!$A$3:$A$13,0),MATCH($A$180,E_budgeted!$B$2:$G$2,0))&gt;0,MIN('Vaal-Orange CMA'!D81,E_budgeted!D280),'Vaal-Orange CMA'!D81)</f>
        <v>16239341.374992</v>
      </c>
      <c r="E220" s="32">
        <f>IF(INDEX(E_budgeted!$B$3:$G$13,MATCH($A220,E_budgeted!$A$3:$A$13,0),MATCH($A$180,E_budgeted!$B$2:$G$2,0))&gt;0,MIN('Vaal-Orange CMA'!E81,E_budgeted!E280),'Vaal-Orange CMA'!E81)</f>
        <v>16239341.374992</v>
      </c>
      <c r="F220" s="32">
        <f>IF(INDEX(E_budgeted!$B$3:$G$13,MATCH($A220,E_budgeted!$A$3:$A$13,0),MATCH($A$180,E_budgeted!$B$2:$G$2,0))&gt;0,MIN('Vaal-Orange CMA'!F81,E_budgeted!F280),'Vaal-Orange CMA'!F81)</f>
        <v>16239341.374992</v>
      </c>
      <c r="G220" s="32">
        <f>IF(INDEX(E_budgeted!$B$3:$G$13,MATCH($A220,E_budgeted!$A$3:$A$13,0),MATCH($A$180,E_budgeted!$B$2:$G$2,0))&gt;0,MIN('Vaal-Orange CMA'!G81,E_budgeted!G280),'Vaal-Orange CMA'!G81)</f>
        <v>16239341.374992</v>
      </c>
      <c r="H220" s="32">
        <f>IF(INDEX(E_budgeted!$B$3:$G$13,MATCH($A220,E_budgeted!$A$3:$A$13,0),MATCH($A$180,E_budgeted!$B$2:$G$2,0))&gt;0,MIN('Vaal-Orange CMA'!H81,E_budgeted!H280),'Vaal-Orange CMA'!H81)</f>
        <v>16239341.374992</v>
      </c>
      <c r="I220" s="32">
        <f>IF(INDEX(E_budgeted!$B$3:$G$13,MATCH($A220,E_budgeted!$A$3:$A$13,0),MATCH($A$180,E_budgeted!$B$2:$G$2,0))&gt;0,MIN('Vaal-Orange CMA'!I81,E_budgeted!I280),'Vaal-Orange CMA'!I81)</f>
        <v>16239341.374992</v>
      </c>
      <c r="J220" s="32">
        <f>IF(INDEX(E_budgeted!$B$3:$G$13,MATCH($A220,E_budgeted!$A$3:$A$13,0),MATCH($A$180,E_budgeted!$B$2:$G$2,0))&gt;0,MIN('Vaal-Orange CMA'!J81,E_budgeted!J280),'Vaal-Orange CMA'!J81)</f>
        <v>16239341.374992</v>
      </c>
      <c r="K220" s="32">
        <f>IF(INDEX(E_budgeted!$B$3:$G$13,MATCH($A220,E_budgeted!$A$3:$A$13,0),MATCH($A$180,E_budgeted!$B$2:$G$2,0))&gt;0,MIN('Vaal-Orange CMA'!K81,E_budgeted!K280),'Vaal-Orange CMA'!K81)</f>
        <v>16239341.374992</v>
      </c>
      <c r="L220" s="5">
        <f t="shared" si="147"/>
        <v>16239341.374992002</v>
      </c>
    </row>
    <row r="221" spans="1:12" x14ac:dyDescent="0.25">
      <c r="A221" s="4" t="s">
        <v>38</v>
      </c>
      <c r="B221" s="32">
        <f>IF(INDEX(E_budgeted!$B$3:$G$13,MATCH($A221,E_budgeted!$A$3:$A$13,0),MATCH($A$180,E_budgeted!$B$2:$G$2,0))&gt;0,MIN('Vaal-Orange CMA'!B82,E_budgeted!B281),'Vaal-Orange CMA'!B82)</f>
        <v>0</v>
      </c>
      <c r="C221" s="32">
        <f>IF(INDEX(E_budgeted!$B$3:$G$13,MATCH($A221,E_budgeted!$A$3:$A$13,0),MATCH($A$180,E_budgeted!$B$2:$G$2,0))&gt;0,MIN('Vaal-Orange CMA'!C82,E_budgeted!C281),'Vaal-Orange CMA'!C82)</f>
        <v>0</v>
      </c>
      <c r="D221" s="32">
        <f>IF(INDEX(E_budgeted!$B$3:$G$13,MATCH($A221,E_budgeted!$A$3:$A$13,0),MATCH($A$180,E_budgeted!$B$2:$G$2,0))&gt;0,MIN('Vaal-Orange CMA'!D82,E_budgeted!D281),'Vaal-Orange CMA'!D82)</f>
        <v>0</v>
      </c>
      <c r="E221" s="32">
        <f>IF(INDEX(E_budgeted!$B$3:$G$13,MATCH($A221,E_budgeted!$A$3:$A$13,0),MATCH($A$180,E_budgeted!$B$2:$G$2,0))&gt;0,MIN('Vaal-Orange CMA'!E82,E_budgeted!E281),'Vaal-Orange CMA'!E82)</f>
        <v>0</v>
      </c>
      <c r="F221" s="32">
        <f>IF(INDEX(E_budgeted!$B$3:$G$13,MATCH($A221,E_budgeted!$A$3:$A$13,0),MATCH($A$180,E_budgeted!$B$2:$G$2,0))&gt;0,MIN('Vaal-Orange CMA'!F82,E_budgeted!F281),'Vaal-Orange CMA'!F82)</f>
        <v>0</v>
      </c>
      <c r="G221" s="32">
        <f>IF(INDEX(E_budgeted!$B$3:$G$13,MATCH($A221,E_budgeted!$A$3:$A$13,0),MATCH($A$180,E_budgeted!$B$2:$G$2,0))&gt;0,MIN('Vaal-Orange CMA'!G82,E_budgeted!G281),'Vaal-Orange CMA'!G82)</f>
        <v>0</v>
      </c>
      <c r="H221" s="32">
        <f>IF(INDEX(E_budgeted!$B$3:$G$13,MATCH($A221,E_budgeted!$A$3:$A$13,0),MATCH($A$180,E_budgeted!$B$2:$G$2,0))&gt;0,MIN('Vaal-Orange CMA'!H82,E_budgeted!H281),'Vaal-Orange CMA'!H82)</f>
        <v>0</v>
      </c>
      <c r="I221" s="32">
        <f>IF(INDEX(E_budgeted!$B$3:$G$13,MATCH($A221,E_budgeted!$A$3:$A$13,0),MATCH($A$180,E_budgeted!$B$2:$G$2,0))&gt;0,MIN('Vaal-Orange CMA'!I82,E_budgeted!I281),'Vaal-Orange CMA'!I82)</f>
        <v>0</v>
      </c>
      <c r="J221" s="32">
        <f>IF(INDEX(E_budgeted!$B$3:$G$13,MATCH($A221,E_budgeted!$A$3:$A$13,0),MATCH($A$180,E_budgeted!$B$2:$G$2,0))&gt;0,MIN('Vaal-Orange CMA'!J82,E_budgeted!J281),'Vaal-Orange CMA'!J82)</f>
        <v>0</v>
      </c>
      <c r="K221" s="32">
        <f>IF(INDEX(E_budgeted!$B$3:$G$13,MATCH($A221,E_budgeted!$A$3:$A$13,0),MATCH($A$180,E_budgeted!$B$2:$G$2,0))&gt;0,MIN('Vaal-Orange CMA'!K82,E_budgeted!K281),'Vaal-Orange CMA'!K82)</f>
        <v>0</v>
      </c>
      <c r="L221" s="5">
        <f t="shared" si="147"/>
        <v>0</v>
      </c>
    </row>
    <row r="222" spans="1:12" x14ac:dyDescent="0.25">
      <c r="A222" s="4" t="s">
        <v>15</v>
      </c>
      <c r="B222" s="13">
        <f>IF(INDEX(E_budgeted!$B$3:$G$13,MATCH($A222,E_budgeted!$A$3:$A$13,0),MATCH($A$180,E_budgeted!$B$2:$G$2,0))&gt;0,MIN('Vaal-Orange CMA'!B83,E_budgeted!B282),'Vaal-Orange CMA'!B83)</f>
        <v>10993909.607499998</v>
      </c>
      <c r="C222" s="13">
        <f>IF(INDEX(E_budgeted!$B$3:$G$13,MATCH($A222,E_budgeted!$A$3:$A$13,0),MATCH($A$180,E_budgeted!$B$2:$G$2,0))&gt;0,MIN('Vaal-Orange CMA'!C83,E_budgeted!C282),'Vaal-Orange CMA'!C83)</f>
        <v>10993909.607499998</v>
      </c>
      <c r="D222" s="13">
        <f>IF(INDEX(E_budgeted!$B$3:$G$13,MATCH($A222,E_budgeted!$A$3:$A$13,0),MATCH($A$180,E_budgeted!$B$2:$G$2,0))&gt;0,MIN('Vaal-Orange CMA'!D83,E_budgeted!D282),'Vaal-Orange CMA'!D83)</f>
        <v>10993909.607499998</v>
      </c>
      <c r="E222" s="13">
        <f>IF(INDEX(E_budgeted!$B$3:$G$13,MATCH($A222,E_budgeted!$A$3:$A$13,0),MATCH($A$180,E_budgeted!$B$2:$G$2,0))&gt;0,MIN('Vaal-Orange CMA'!E83,E_budgeted!E282),'Vaal-Orange CMA'!E83)</f>
        <v>10993909.607499998</v>
      </c>
      <c r="F222" s="13">
        <f>IF(INDEX(E_budgeted!$B$3:$G$13,MATCH($A222,E_budgeted!$A$3:$A$13,0),MATCH($A$180,E_budgeted!$B$2:$G$2,0))&gt;0,MIN('Vaal-Orange CMA'!F83,E_budgeted!F282),'Vaal-Orange CMA'!F83)</f>
        <v>10993909.607499998</v>
      </c>
      <c r="G222" s="13">
        <f>IF(INDEX(E_budgeted!$B$3:$G$13,MATCH($A222,E_budgeted!$A$3:$A$13,0),MATCH($A$180,E_budgeted!$B$2:$G$2,0))&gt;0,MIN('Vaal-Orange CMA'!G83,E_budgeted!G282),'Vaal-Orange CMA'!G83)</f>
        <v>10993909.607499998</v>
      </c>
      <c r="H222" s="13">
        <f>IF(INDEX(E_budgeted!$B$3:$G$13,MATCH($A222,E_budgeted!$A$3:$A$13,0),MATCH($A$180,E_budgeted!$B$2:$G$2,0))&gt;0,MIN('Vaal-Orange CMA'!H83,E_budgeted!H282),'Vaal-Orange CMA'!H83)</f>
        <v>10993909.607499998</v>
      </c>
      <c r="I222" s="13">
        <f>IF(INDEX(E_budgeted!$B$3:$G$13,MATCH($A222,E_budgeted!$A$3:$A$13,0),MATCH($A$180,E_budgeted!$B$2:$G$2,0))&gt;0,MIN('Vaal-Orange CMA'!I83,E_budgeted!I282),'Vaal-Orange CMA'!I83)</f>
        <v>10993909.607499998</v>
      </c>
      <c r="J222" s="13">
        <f>IF(INDEX(E_budgeted!$B$3:$G$13,MATCH($A222,E_budgeted!$A$3:$A$13,0),MATCH($A$180,E_budgeted!$B$2:$G$2,0))&gt;0,MIN('Vaal-Orange CMA'!J83,E_budgeted!J282),'Vaal-Orange CMA'!J83)</f>
        <v>10993909.607499998</v>
      </c>
      <c r="K222" s="13">
        <f>IF(INDEX(E_budgeted!$B$3:$G$13,MATCH($A222,E_budgeted!$A$3:$A$13,0),MATCH($A$180,E_budgeted!$B$2:$G$2,0))&gt;0,MIN('Vaal-Orange CMA'!K83,E_budgeted!K282),'Vaal-Orange CMA'!K83)</f>
        <v>10993909.607499998</v>
      </c>
      <c r="L222" s="5">
        <f t="shared" si="147"/>
        <v>10993909.6075</v>
      </c>
    </row>
    <row r="223" spans="1:12" x14ac:dyDescent="0.25">
      <c r="B223" s="5">
        <f>SUM(B212:B222)</f>
        <v>39011144.200655207</v>
      </c>
      <c r="C223" s="5">
        <f t="shared" ref="C223:K223" si="148">SUM(C212:C222)</f>
        <v>39011144.200655207</v>
      </c>
      <c r="D223" s="5">
        <f t="shared" si="148"/>
        <v>39011144.200655207</v>
      </c>
      <c r="E223" s="5">
        <f t="shared" si="148"/>
        <v>39011144.200655207</v>
      </c>
      <c r="F223" s="5">
        <f t="shared" si="148"/>
        <v>39011144.200655207</v>
      </c>
      <c r="G223" s="5">
        <f t="shared" si="148"/>
        <v>39011144.200655207</v>
      </c>
      <c r="H223" s="5">
        <f t="shared" si="148"/>
        <v>39011144.200655207</v>
      </c>
      <c r="I223" s="5">
        <f t="shared" si="148"/>
        <v>39011144.200655207</v>
      </c>
      <c r="J223" s="5">
        <f t="shared" si="148"/>
        <v>39011144.200655207</v>
      </c>
      <c r="K223" s="5">
        <f t="shared" si="148"/>
        <v>39011144.200655207</v>
      </c>
      <c r="L223" s="5"/>
    </row>
    <row r="224" spans="1:12" x14ac:dyDescent="0.25">
      <c r="B224" s="16">
        <f>B223/$B$194</f>
        <v>0.21961743721979277</v>
      </c>
    </row>
    <row r="225" spans="1:12" ht="30" x14ac:dyDescent="0.25">
      <c r="A225" s="15" t="s">
        <v>94</v>
      </c>
      <c r="B225" s="12" t="str">
        <f>'Summary dashboard'!C4</f>
        <v>2023</v>
      </c>
      <c r="C225" s="12">
        <f t="shared" ref="C225" si="149">B225+1</f>
        <v>2024</v>
      </c>
      <c r="D225" s="12">
        <f t="shared" ref="D225" si="150">C225+1</f>
        <v>2025</v>
      </c>
      <c r="E225" s="12">
        <f t="shared" ref="E225" si="151">D225+1</f>
        <v>2026</v>
      </c>
      <c r="F225" s="12">
        <f t="shared" ref="F225" si="152">E225+1</f>
        <v>2027</v>
      </c>
      <c r="G225" s="12">
        <f t="shared" ref="G225" si="153">F225+1</f>
        <v>2028</v>
      </c>
      <c r="H225" s="12">
        <f t="shared" ref="H225" si="154">G225+1</f>
        <v>2029</v>
      </c>
      <c r="I225" s="12">
        <f t="shared" ref="I225" si="155">H225+1</f>
        <v>2030</v>
      </c>
      <c r="J225" s="12">
        <f t="shared" ref="J225" si="156">I225+1</f>
        <v>2031</v>
      </c>
      <c r="K225" s="12">
        <f t="shared" ref="K225" si="157">J225+1</f>
        <v>2032</v>
      </c>
      <c r="L225" s="1" t="s">
        <v>28</v>
      </c>
    </row>
    <row r="226" spans="1:12" x14ac:dyDescent="0.25">
      <c r="A226" s="4" t="s">
        <v>35</v>
      </c>
      <c r="B226" s="32">
        <f>IF(INDEX(E_budgeted!$B$3:$G$13,MATCH($A226,E_budgeted!$A$3:$A$13,0),MATCH($A$180,E_budgeted!$B$2:$G$2,0))&gt;0,MIN('Vaal-Orange CMA'!B87,E_budgeted!B286),'Vaal-Orange CMA'!B87)</f>
        <v>6453510.2016620003</v>
      </c>
      <c r="C226" s="32">
        <f>IF(INDEX(E_budgeted!$B$3:$G$13,MATCH($A226,E_budgeted!$A$3:$A$13,0),MATCH($A$180,E_budgeted!$B$2:$G$2,0))&gt;0,MIN('Vaal-Orange CMA'!C87,E_budgeted!C286),'Vaal-Orange CMA'!C87)</f>
        <v>6453510.2016620003</v>
      </c>
      <c r="D226" s="32">
        <f>IF(INDEX(E_budgeted!$B$3:$G$13,MATCH($A226,E_budgeted!$A$3:$A$13,0),MATCH($A$180,E_budgeted!$B$2:$G$2,0))&gt;0,MIN('Vaal-Orange CMA'!D87,E_budgeted!D286),'Vaal-Orange CMA'!D87)</f>
        <v>6453510.2016620003</v>
      </c>
      <c r="E226" s="32">
        <f>IF(INDEX(E_budgeted!$B$3:$G$13,MATCH($A226,E_budgeted!$A$3:$A$13,0),MATCH($A$180,E_budgeted!$B$2:$G$2,0))&gt;0,MIN('Vaal-Orange CMA'!E87,E_budgeted!E286),'Vaal-Orange CMA'!E87)</f>
        <v>6453510.2016620003</v>
      </c>
      <c r="F226" s="32">
        <f>IF(INDEX(E_budgeted!$B$3:$G$13,MATCH($A226,E_budgeted!$A$3:$A$13,0),MATCH($A$180,E_budgeted!$B$2:$G$2,0))&gt;0,MIN('Vaal-Orange CMA'!F87,E_budgeted!F286),'Vaal-Orange CMA'!F87)</f>
        <v>6453510.2016620003</v>
      </c>
      <c r="G226" s="32">
        <f>IF(INDEX(E_budgeted!$B$3:$G$13,MATCH($A226,E_budgeted!$A$3:$A$13,0),MATCH($A$180,E_budgeted!$B$2:$G$2,0))&gt;0,MIN('Vaal-Orange CMA'!G87,E_budgeted!G286),'Vaal-Orange CMA'!G87)</f>
        <v>6453510.2016620003</v>
      </c>
      <c r="H226" s="32">
        <f>IF(INDEX(E_budgeted!$B$3:$G$13,MATCH($A226,E_budgeted!$A$3:$A$13,0),MATCH($A$180,E_budgeted!$B$2:$G$2,0))&gt;0,MIN('Vaal-Orange CMA'!H87,E_budgeted!H286),'Vaal-Orange CMA'!H87)</f>
        <v>6453510.2016620003</v>
      </c>
      <c r="I226" s="32">
        <f>IF(INDEX(E_budgeted!$B$3:$G$13,MATCH($A226,E_budgeted!$A$3:$A$13,0),MATCH($A$180,E_budgeted!$B$2:$G$2,0))&gt;0,MIN('Vaal-Orange CMA'!I87,E_budgeted!I286),'Vaal-Orange CMA'!I87)</f>
        <v>6453510.2016620003</v>
      </c>
      <c r="J226" s="32">
        <f>IF(INDEX(E_budgeted!$B$3:$G$13,MATCH($A226,E_budgeted!$A$3:$A$13,0),MATCH($A$180,E_budgeted!$B$2:$G$2,0))&gt;0,MIN('Vaal-Orange CMA'!J87,E_budgeted!J286),'Vaal-Orange CMA'!J87)</f>
        <v>6453510.2016620003</v>
      </c>
      <c r="K226" s="32">
        <f>IF(INDEX(E_budgeted!$B$3:$G$13,MATCH($A226,E_budgeted!$A$3:$A$13,0),MATCH($A$180,E_budgeted!$B$2:$G$2,0))&gt;0,MIN('Vaal-Orange CMA'!K87,E_budgeted!K286),'Vaal-Orange CMA'!K87)</f>
        <v>6453510.2016620003</v>
      </c>
      <c r="L226" s="5">
        <f>AVERAGE(B226:K226)</f>
        <v>6453510.2016620012</v>
      </c>
    </row>
    <row r="227" spans="1:12" x14ac:dyDescent="0.25">
      <c r="A227" s="4" t="s">
        <v>36</v>
      </c>
      <c r="B227" s="32">
        <f>IF(INDEX(E_budgeted!$B$3:$G$13,MATCH($A227,E_budgeted!$A$3:$A$13,0),MATCH($A$180,E_budgeted!$B$2:$G$2,0))&gt;0,MIN('Vaal-Orange CMA'!B88,E_budgeted!B287),'Vaal-Orange CMA'!B88)</f>
        <v>1839368.8758000005</v>
      </c>
      <c r="C227" s="32">
        <f>IF(INDEX(E_budgeted!$B$3:$G$13,MATCH($A227,E_budgeted!$A$3:$A$13,0),MATCH($A$180,E_budgeted!$B$2:$G$2,0))&gt;0,MIN('Vaal-Orange CMA'!C88,E_budgeted!C287),'Vaal-Orange CMA'!C88)</f>
        <v>1839368.8758000005</v>
      </c>
      <c r="D227" s="32">
        <f>IF(INDEX(E_budgeted!$B$3:$G$13,MATCH($A227,E_budgeted!$A$3:$A$13,0),MATCH($A$180,E_budgeted!$B$2:$G$2,0))&gt;0,MIN('Vaal-Orange CMA'!D88,E_budgeted!D287),'Vaal-Orange CMA'!D88)</f>
        <v>1839368.8758000005</v>
      </c>
      <c r="E227" s="32">
        <f>IF(INDEX(E_budgeted!$B$3:$G$13,MATCH($A227,E_budgeted!$A$3:$A$13,0),MATCH($A$180,E_budgeted!$B$2:$G$2,0))&gt;0,MIN('Vaal-Orange CMA'!E88,E_budgeted!E287),'Vaal-Orange CMA'!E88)</f>
        <v>1839368.8758000005</v>
      </c>
      <c r="F227" s="32">
        <f>IF(INDEX(E_budgeted!$B$3:$G$13,MATCH($A227,E_budgeted!$A$3:$A$13,0),MATCH($A$180,E_budgeted!$B$2:$G$2,0))&gt;0,MIN('Vaal-Orange CMA'!F88,E_budgeted!F287),'Vaal-Orange CMA'!F88)</f>
        <v>1839368.8758000005</v>
      </c>
      <c r="G227" s="32">
        <f>IF(INDEX(E_budgeted!$B$3:$G$13,MATCH($A227,E_budgeted!$A$3:$A$13,0),MATCH($A$180,E_budgeted!$B$2:$G$2,0))&gt;0,MIN('Vaal-Orange CMA'!G88,E_budgeted!G287),'Vaal-Orange CMA'!G88)</f>
        <v>1839368.8758000005</v>
      </c>
      <c r="H227" s="32">
        <f>IF(INDEX(E_budgeted!$B$3:$G$13,MATCH($A227,E_budgeted!$A$3:$A$13,0),MATCH($A$180,E_budgeted!$B$2:$G$2,0))&gt;0,MIN('Vaal-Orange CMA'!H88,E_budgeted!H287),'Vaal-Orange CMA'!H88)</f>
        <v>1839368.8758000005</v>
      </c>
      <c r="I227" s="32">
        <f>IF(INDEX(E_budgeted!$B$3:$G$13,MATCH($A227,E_budgeted!$A$3:$A$13,0),MATCH($A$180,E_budgeted!$B$2:$G$2,0))&gt;0,MIN('Vaal-Orange CMA'!I88,E_budgeted!I287),'Vaal-Orange CMA'!I88)</f>
        <v>1839368.8758000005</v>
      </c>
      <c r="J227" s="32">
        <f>IF(INDEX(E_budgeted!$B$3:$G$13,MATCH($A227,E_budgeted!$A$3:$A$13,0),MATCH($A$180,E_budgeted!$B$2:$G$2,0))&gt;0,MIN('Vaal-Orange CMA'!J88,E_budgeted!J287),'Vaal-Orange CMA'!J88)</f>
        <v>1839368.8758000005</v>
      </c>
      <c r="K227" s="32">
        <f>IF(INDEX(E_budgeted!$B$3:$G$13,MATCH($A227,E_budgeted!$A$3:$A$13,0),MATCH($A$180,E_budgeted!$B$2:$G$2,0))&gt;0,MIN('Vaal-Orange CMA'!K88,E_budgeted!K287),'Vaal-Orange CMA'!K88)</f>
        <v>1839368.8758000005</v>
      </c>
      <c r="L227" s="5">
        <f t="shared" ref="L227:L236" si="158">AVERAGE(B227:K227)</f>
        <v>1839368.8758000005</v>
      </c>
    </row>
    <row r="228" spans="1:12" x14ac:dyDescent="0.25">
      <c r="A228" s="4" t="s">
        <v>11</v>
      </c>
      <c r="B228" s="32">
        <f>IF(INDEX(E_budgeted!$B$3:$G$13,MATCH($A228,E_budgeted!$A$3:$A$13,0),MATCH($A$180,E_budgeted!$B$2:$G$2,0))&gt;0,MIN('Vaal-Orange CMA'!B89,E_budgeted!B288),'Vaal-Orange CMA'!B89)</f>
        <v>0</v>
      </c>
      <c r="C228" s="32">
        <f>IF(INDEX(E_budgeted!$B$3:$G$13,MATCH($A228,E_budgeted!$A$3:$A$13,0),MATCH($A$180,E_budgeted!$B$2:$G$2,0))&gt;0,MIN('Vaal-Orange CMA'!C89,E_budgeted!C288),'Vaal-Orange CMA'!C89)</f>
        <v>0</v>
      </c>
      <c r="D228" s="32">
        <f>IF(INDEX(E_budgeted!$B$3:$G$13,MATCH($A228,E_budgeted!$A$3:$A$13,0),MATCH($A$180,E_budgeted!$B$2:$G$2,0))&gt;0,MIN('Vaal-Orange CMA'!D89,E_budgeted!D288),'Vaal-Orange CMA'!D89)</f>
        <v>0</v>
      </c>
      <c r="E228" s="32">
        <f>IF(INDEX(E_budgeted!$B$3:$G$13,MATCH($A228,E_budgeted!$A$3:$A$13,0),MATCH($A$180,E_budgeted!$B$2:$G$2,0))&gt;0,MIN('Vaal-Orange CMA'!E89,E_budgeted!E288),'Vaal-Orange CMA'!E89)</f>
        <v>0</v>
      </c>
      <c r="F228" s="32">
        <f>IF(INDEX(E_budgeted!$B$3:$G$13,MATCH($A228,E_budgeted!$A$3:$A$13,0),MATCH($A$180,E_budgeted!$B$2:$G$2,0))&gt;0,MIN('Vaal-Orange CMA'!F89,E_budgeted!F288),'Vaal-Orange CMA'!F89)</f>
        <v>0</v>
      </c>
      <c r="G228" s="32">
        <f>IF(INDEX(E_budgeted!$B$3:$G$13,MATCH($A228,E_budgeted!$A$3:$A$13,0),MATCH($A$180,E_budgeted!$B$2:$G$2,0))&gt;0,MIN('Vaal-Orange CMA'!G89,E_budgeted!G288),'Vaal-Orange CMA'!G89)</f>
        <v>0</v>
      </c>
      <c r="H228" s="32">
        <f>IF(INDEX(E_budgeted!$B$3:$G$13,MATCH($A228,E_budgeted!$A$3:$A$13,0),MATCH($A$180,E_budgeted!$B$2:$G$2,0))&gt;0,MIN('Vaal-Orange CMA'!H89,E_budgeted!H288),'Vaal-Orange CMA'!H89)</f>
        <v>0</v>
      </c>
      <c r="I228" s="32">
        <f>IF(INDEX(E_budgeted!$B$3:$G$13,MATCH($A228,E_budgeted!$A$3:$A$13,0),MATCH($A$180,E_budgeted!$B$2:$G$2,0))&gt;0,MIN('Vaal-Orange CMA'!I89,E_budgeted!I288),'Vaal-Orange CMA'!I89)</f>
        <v>0</v>
      </c>
      <c r="J228" s="32">
        <f>IF(INDEX(E_budgeted!$B$3:$G$13,MATCH($A228,E_budgeted!$A$3:$A$13,0),MATCH($A$180,E_budgeted!$B$2:$G$2,0))&gt;0,MIN('Vaal-Orange CMA'!J89,E_budgeted!J288),'Vaal-Orange CMA'!J89)</f>
        <v>0</v>
      </c>
      <c r="K228" s="32">
        <f>IF(INDEX(E_budgeted!$B$3:$G$13,MATCH($A228,E_budgeted!$A$3:$A$13,0),MATCH($A$180,E_budgeted!$B$2:$G$2,0))&gt;0,MIN('Vaal-Orange CMA'!K89,E_budgeted!K288),'Vaal-Orange CMA'!K89)</f>
        <v>0</v>
      </c>
      <c r="L228" s="5">
        <f t="shared" si="158"/>
        <v>0</v>
      </c>
    </row>
    <row r="229" spans="1:12" x14ac:dyDescent="0.25">
      <c r="A229" s="4" t="s">
        <v>124</v>
      </c>
      <c r="B229" s="32">
        <f>IF(INDEX(E_budgeted!$B$3:$G$13,MATCH($A229,E_budgeted!$A$3:$A$13,0),MATCH($A$180,E_budgeted!$B$2:$G$2,0))&gt;0,MIN('Vaal-Orange CMA'!B90,E_budgeted!B289),'Vaal-Orange CMA'!B90)</f>
        <v>4327042.5835000006</v>
      </c>
      <c r="C229" s="32">
        <f>IF(INDEX(E_budgeted!$B$3:$G$13,MATCH($A229,E_budgeted!$A$3:$A$13,0),MATCH($A$180,E_budgeted!$B$2:$G$2,0))&gt;0,MIN('Vaal-Orange CMA'!C90,E_budgeted!C289),'Vaal-Orange CMA'!C90)</f>
        <v>4327042.5835000006</v>
      </c>
      <c r="D229" s="32">
        <f>IF(INDEX(E_budgeted!$B$3:$G$13,MATCH($A229,E_budgeted!$A$3:$A$13,0),MATCH($A$180,E_budgeted!$B$2:$G$2,0))&gt;0,MIN('Vaal-Orange CMA'!D90,E_budgeted!D289),'Vaal-Orange CMA'!D90)</f>
        <v>4327042.5835000006</v>
      </c>
      <c r="E229" s="32">
        <f>IF(INDEX(E_budgeted!$B$3:$G$13,MATCH($A229,E_budgeted!$A$3:$A$13,0),MATCH($A$180,E_budgeted!$B$2:$G$2,0))&gt;0,MIN('Vaal-Orange CMA'!E90,E_budgeted!E289),'Vaal-Orange CMA'!E90)</f>
        <v>4327042.5835000006</v>
      </c>
      <c r="F229" s="32">
        <f>IF(INDEX(E_budgeted!$B$3:$G$13,MATCH($A229,E_budgeted!$A$3:$A$13,0),MATCH($A$180,E_budgeted!$B$2:$G$2,0))&gt;0,MIN('Vaal-Orange CMA'!F90,E_budgeted!F289),'Vaal-Orange CMA'!F90)</f>
        <v>4327042.5835000006</v>
      </c>
      <c r="G229" s="32">
        <f>IF(INDEX(E_budgeted!$B$3:$G$13,MATCH($A229,E_budgeted!$A$3:$A$13,0),MATCH($A$180,E_budgeted!$B$2:$G$2,0))&gt;0,MIN('Vaal-Orange CMA'!G90,E_budgeted!G289),'Vaal-Orange CMA'!G90)</f>
        <v>4327042.5835000006</v>
      </c>
      <c r="H229" s="32">
        <f>IF(INDEX(E_budgeted!$B$3:$G$13,MATCH($A229,E_budgeted!$A$3:$A$13,0),MATCH($A$180,E_budgeted!$B$2:$G$2,0))&gt;0,MIN('Vaal-Orange CMA'!H90,E_budgeted!H289),'Vaal-Orange CMA'!H90)</f>
        <v>4327042.5835000006</v>
      </c>
      <c r="I229" s="32">
        <f>IF(INDEX(E_budgeted!$B$3:$G$13,MATCH($A229,E_budgeted!$A$3:$A$13,0),MATCH($A$180,E_budgeted!$B$2:$G$2,0))&gt;0,MIN('Vaal-Orange CMA'!I90,E_budgeted!I289),'Vaal-Orange CMA'!I90)</f>
        <v>4327042.5835000006</v>
      </c>
      <c r="J229" s="32">
        <f>IF(INDEX(E_budgeted!$B$3:$G$13,MATCH($A229,E_budgeted!$A$3:$A$13,0),MATCH($A$180,E_budgeted!$B$2:$G$2,0))&gt;0,MIN('Vaal-Orange CMA'!J90,E_budgeted!J289),'Vaal-Orange CMA'!J90)</f>
        <v>4327042.5835000006</v>
      </c>
      <c r="K229" s="32">
        <f>IF(INDEX(E_budgeted!$B$3:$G$13,MATCH($A229,E_budgeted!$A$3:$A$13,0),MATCH($A$180,E_budgeted!$B$2:$G$2,0))&gt;0,MIN('Vaal-Orange CMA'!K90,E_budgeted!K289),'Vaal-Orange CMA'!K90)</f>
        <v>4327042.5835000006</v>
      </c>
      <c r="L229" s="5">
        <f t="shared" si="158"/>
        <v>4327042.5834999997</v>
      </c>
    </row>
    <row r="230" spans="1:12" x14ac:dyDescent="0.25">
      <c r="A230" s="4" t="s">
        <v>12</v>
      </c>
      <c r="B230" s="32">
        <f>IF(INDEX(E_budgeted!$B$3:$G$13,MATCH($A230,E_budgeted!$A$3:$A$13,0),MATCH($A$180,E_budgeted!$B$2:$G$2,0))&gt;0,MIN('Vaal-Orange CMA'!B91,E_budgeted!B290),'Vaal-Orange CMA'!B91)</f>
        <v>2316993.829423334</v>
      </c>
      <c r="C230" s="32">
        <f>IF(INDEX(E_budgeted!$B$3:$G$13,MATCH($A230,E_budgeted!$A$3:$A$13,0),MATCH($A$180,E_budgeted!$B$2:$G$2,0))&gt;0,MIN('Vaal-Orange CMA'!C91,E_budgeted!C290),'Vaal-Orange CMA'!C91)</f>
        <v>2316993.829423334</v>
      </c>
      <c r="D230" s="32">
        <f>IF(INDEX(E_budgeted!$B$3:$G$13,MATCH($A230,E_budgeted!$A$3:$A$13,0),MATCH($A$180,E_budgeted!$B$2:$G$2,0))&gt;0,MIN('Vaal-Orange CMA'!D91,E_budgeted!D290),'Vaal-Orange CMA'!D91)</f>
        <v>2316993.829423334</v>
      </c>
      <c r="E230" s="32">
        <f>IF(INDEX(E_budgeted!$B$3:$G$13,MATCH($A230,E_budgeted!$A$3:$A$13,0),MATCH($A$180,E_budgeted!$B$2:$G$2,0))&gt;0,MIN('Vaal-Orange CMA'!E91,E_budgeted!E290),'Vaal-Orange CMA'!E91)</f>
        <v>2316993.829423334</v>
      </c>
      <c r="F230" s="32">
        <f>IF(INDEX(E_budgeted!$B$3:$G$13,MATCH($A230,E_budgeted!$A$3:$A$13,0),MATCH($A$180,E_budgeted!$B$2:$G$2,0))&gt;0,MIN('Vaal-Orange CMA'!F91,E_budgeted!F290),'Vaal-Orange CMA'!F91)</f>
        <v>2316993.829423334</v>
      </c>
      <c r="G230" s="32">
        <f>IF(INDEX(E_budgeted!$B$3:$G$13,MATCH($A230,E_budgeted!$A$3:$A$13,0),MATCH($A$180,E_budgeted!$B$2:$G$2,0))&gt;0,MIN('Vaal-Orange CMA'!G91,E_budgeted!G290),'Vaal-Orange CMA'!G91)</f>
        <v>2316993.829423334</v>
      </c>
      <c r="H230" s="32">
        <f>IF(INDEX(E_budgeted!$B$3:$G$13,MATCH($A230,E_budgeted!$A$3:$A$13,0),MATCH($A$180,E_budgeted!$B$2:$G$2,0))&gt;0,MIN('Vaal-Orange CMA'!H91,E_budgeted!H290),'Vaal-Orange CMA'!H91)</f>
        <v>2316993.829423334</v>
      </c>
      <c r="I230" s="32">
        <f>IF(INDEX(E_budgeted!$B$3:$G$13,MATCH($A230,E_budgeted!$A$3:$A$13,0),MATCH($A$180,E_budgeted!$B$2:$G$2,0))&gt;0,MIN('Vaal-Orange CMA'!I91,E_budgeted!I290),'Vaal-Orange CMA'!I91)</f>
        <v>2316993.829423334</v>
      </c>
      <c r="J230" s="32">
        <f>IF(INDEX(E_budgeted!$B$3:$G$13,MATCH($A230,E_budgeted!$A$3:$A$13,0),MATCH($A$180,E_budgeted!$B$2:$G$2,0))&gt;0,MIN('Vaal-Orange CMA'!J91,E_budgeted!J290),'Vaal-Orange CMA'!J91)</f>
        <v>2316993.829423334</v>
      </c>
      <c r="K230" s="32">
        <f>IF(INDEX(E_budgeted!$B$3:$G$13,MATCH($A230,E_budgeted!$A$3:$A$13,0),MATCH($A$180,E_budgeted!$B$2:$G$2,0))&gt;0,MIN('Vaal-Orange CMA'!K91,E_budgeted!K290),'Vaal-Orange CMA'!K91)</f>
        <v>2316993.829423334</v>
      </c>
      <c r="L230" s="5">
        <f t="shared" si="158"/>
        <v>2316993.829423334</v>
      </c>
    </row>
    <row r="231" spans="1:12" x14ac:dyDescent="0.25">
      <c r="A231" s="4" t="s">
        <v>13</v>
      </c>
      <c r="B231" s="32">
        <f>IF(INDEX(E_budgeted!$B$3:$G$13,MATCH($A231,E_budgeted!$A$3:$A$13,0),MATCH($A$180,E_budgeted!$B$2:$G$2,0))&gt;0,MIN('Vaal-Orange CMA'!B92,E_budgeted!B291),'Vaal-Orange CMA'!B92)</f>
        <v>0</v>
      </c>
      <c r="C231" s="32">
        <f>IF(INDEX(E_budgeted!$B$3:$G$13,MATCH($A231,E_budgeted!$A$3:$A$13,0),MATCH($A$180,E_budgeted!$B$2:$G$2,0))&gt;0,MIN('Vaal-Orange CMA'!C92,E_budgeted!C291),'Vaal-Orange CMA'!C92)</f>
        <v>0</v>
      </c>
      <c r="D231" s="32">
        <f>IF(INDEX(E_budgeted!$B$3:$G$13,MATCH($A231,E_budgeted!$A$3:$A$13,0),MATCH($A$180,E_budgeted!$B$2:$G$2,0))&gt;0,MIN('Vaal-Orange CMA'!D92,E_budgeted!D291),'Vaal-Orange CMA'!D92)</f>
        <v>0</v>
      </c>
      <c r="E231" s="32">
        <f>IF(INDEX(E_budgeted!$B$3:$G$13,MATCH($A231,E_budgeted!$A$3:$A$13,0),MATCH($A$180,E_budgeted!$B$2:$G$2,0))&gt;0,MIN('Vaal-Orange CMA'!E92,E_budgeted!E291),'Vaal-Orange CMA'!E92)</f>
        <v>0</v>
      </c>
      <c r="F231" s="32">
        <f>IF(INDEX(E_budgeted!$B$3:$G$13,MATCH($A231,E_budgeted!$A$3:$A$13,0),MATCH($A$180,E_budgeted!$B$2:$G$2,0))&gt;0,MIN('Vaal-Orange CMA'!F92,E_budgeted!F291),'Vaal-Orange CMA'!F92)</f>
        <v>0</v>
      </c>
      <c r="G231" s="32">
        <f>IF(INDEX(E_budgeted!$B$3:$G$13,MATCH($A231,E_budgeted!$A$3:$A$13,0),MATCH($A$180,E_budgeted!$B$2:$G$2,0))&gt;0,MIN('Vaal-Orange CMA'!G92,E_budgeted!G291),'Vaal-Orange CMA'!G92)</f>
        <v>0</v>
      </c>
      <c r="H231" s="32">
        <f>IF(INDEX(E_budgeted!$B$3:$G$13,MATCH($A231,E_budgeted!$A$3:$A$13,0),MATCH($A$180,E_budgeted!$B$2:$G$2,0))&gt;0,MIN('Vaal-Orange CMA'!H92,E_budgeted!H291),'Vaal-Orange CMA'!H92)</f>
        <v>0</v>
      </c>
      <c r="I231" s="32">
        <f>IF(INDEX(E_budgeted!$B$3:$G$13,MATCH($A231,E_budgeted!$A$3:$A$13,0),MATCH($A$180,E_budgeted!$B$2:$G$2,0))&gt;0,MIN('Vaal-Orange CMA'!I92,E_budgeted!I291),'Vaal-Orange CMA'!I92)</f>
        <v>0</v>
      </c>
      <c r="J231" s="32">
        <f>IF(INDEX(E_budgeted!$B$3:$G$13,MATCH($A231,E_budgeted!$A$3:$A$13,0),MATCH($A$180,E_budgeted!$B$2:$G$2,0))&gt;0,MIN('Vaal-Orange CMA'!J92,E_budgeted!J291),'Vaal-Orange CMA'!J92)</f>
        <v>0</v>
      </c>
      <c r="K231" s="32">
        <f>IF(INDEX(E_budgeted!$B$3:$G$13,MATCH($A231,E_budgeted!$A$3:$A$13,0),MATCH($A$180,E_budgeted!$B$2:$G$2,0))&gt;0,MIN('Vaal-Orange CMA'!K92,E_budgeted!K291),'Vaal-Orange CMA'!K92)</f>
        <v>0</v>
      </c>
      <c r="L231" s="5">
        <f t="shared" si="158"/>
        <v>0</v>
      </c>
    </row>
    <row r="232" spans="1:12" x14ac:dyDescent="0.25">
      <c r="A232" s="4" t="s">
        <v>14</v>
      </c>
      <c r="B232" s="32">
        <f>IF(INDEX(E_budgeted!$B$3:$G$13,MATCH($A232,E_budgeted!$A$3:$A$13,0),MATCH($A$180,E_budgeted!$B$2:$G$2,0))&gt;0,MIN('Vaal-Orange CMA'!B93,E_budgeted!B292),'Vaal-Orange CMA'!B93)</f>
        <v>0</v>
      </c>
      <c r="C232" s="32">
        <f>IF(INDEX(E_budgeted!$B$3:$G$13,MATCH($A232,E_budgeted!$A$3:$A$13,0),MATCH($A$180,E_budgeted!$B$2:$G$2,0))&gt;0,MIN('Vaal-Orange CMA'!C93,E_budgeted!C292),'Vaal-Orange CMA'!C93)</f>
        <v>0</v>
      </c>
      <c r="D232" s="32">
        <f>IF(INDEX(E_budgeted!$B$3:$G$13,MATCH($A232,E_budgeted!$A$3:$A$13,0),MATCH($A$180,E_budgeted!$B$2:$G$2,0))&gt;0,MIN('Vaal-Orange CMA'!D93,E_budgeted!D292),'Vaal-Orange CMA'!D93)</f>
        <v>0</v>
      </c>
      <c r="E232" s="32">
        <f>IF(INDEX(E_budgeted!$B$3:$G$13,MATCH($A232,E_budgeted!$A$3:$A$13,0),MATCH($A$180,E_budgeted!$B$2:$G$2,0))&gt;0,MIN('Vaal-Orange CMA'!E93,E_budgeted!E292),'Vaal-Orange CMA'!E93)</f>
        <v>0</v>
      </c>
      <c r="F232" s="32">
        <f>IF(INDEX(E_budgeted!$B$3:$G$13,MATCH($A232,E_budgeted!$A$3:$A$13,0),MATCH($A$180,E_budgeted!$B$2:$G$2,0))&gt;0,MIN('Vaal-Orange CMA'!F93,E_budgeted!F292),'Vaal-Orange CMA'!F93)</f>
        <v>0</v>
      </c>
      <c r="G232" s="32">
        <f>IF(INDEX(E_budgeted!$B$3:$G$13,MATCH($A232,E_budgeted!$A$3:$A$13,0),MATCH($A$180,E_budgeted!$B$2:$G$2,0))&gt;0,MIN('Vaal-Orange CMA'!G93,E_budgeted!G292),'Vaal-Orange CMA'!G93)</f>
        <v>0</v>
      </c>
      <c r="H232" s="32">
        <f>IF(INDEX(E_budgeted!$B$3:$G$13,MATCH($A232,E_budgeted!$A$3:$A$13,0),MATCH($A$180,E_budgeted!$B$2:$G$2,0))&gt;0,MIN('Vaal-Orange CMA'!H93,E_budgeted!H292),'Vaal-Orange CMA'!H93)</f>
        <v>0</v>
      </c>
      <c r="I232" s="32">
        <f>IF(INDEX(E_budgeted!$B$3:$G$13,MATCH($A232,E_budgeted!$A$3:$A$13,0),MATCH($A$180,E_budgeted!$B$2:$G$2,0))&gt;0,MIN('Vaal-Orange CMA'!I93,E_budgeted!I292),'Vaal-Orange CMA'!I93)</f>
        <v>0</v>
      </c>
      <c r="J232" s="32">
        <f>IF(INDEX(E_budgeted!$B$3:$G$13,MATCH($A232,E_budgeted!$A$3:$A$13,0),MATCH($A$180,E_budgeted!$B$2:$G$2,0))&gt;0,MIN('Vaal-Orange CMA'!J93,E_budgeted!J292),'Vaal-Orange CMA'!J93)</f>
        <v>0</v>
      </c>
      <c r="K232" s="32">
        <f>IF(INDEX(E_budgeted!$B$3:$G$13,MATCH($A232,E_budgeted!$A$3:$A$13,0),MATCH($A$180,E_budgeted!$B$2:$G$2,0))&gt;0,MIN('Vaal-Orange CMA'!K93,E_budgeted!K292),'Vaal-Orange CMA'!K93)</f>
        <v>0</v>
      </c>
      <c r="L232" s="5">
        <f t="shared" si="158"/>
        <v>0</v>
      </c>
    </row>
    <row r="233" spans="1:12" x14ac:dyDescent="0.25">
      <c r="A233" s="4" t="s">
        <v>125</v>
      </c>
      <c r="B233" s="32">
        <f>IF(INDEX(E_budgeted!$B$3:$G$13,MATCH($A233,E_budgeted!$A$3:$A$13,0),MATCH($A$180,E_budgeted!$B$2:$G$2,0))&gt;0,MIN('Vaal-Orange CMA'!B94,E_budgeted!B293),'Vaal-Orange CMA'!B94)</f>
        <v>1935517.9823714029</v>
      </c>
      <c r="C233" s="32">
        <f>IF(INDEX(E_budgeted!$B$3:$G$13,MATCH($A233,E_budgeted!$A$3:$A$13,0),MATCH($A$180,E_budgeted!$B$2:$G$2,0))&gt;0,MIN('Vaal-Orange CMA'!C94,E_budgeted!C293),'Vaal-Orange CMA'!C94)</f>
        <v>1935517.9823714029</v>
      </c>
      <c r="D233" s="32">
        <f>IF(INDEX(E_budgeted!$B$3:$G$13,MATCH($A233,E_budgeted!$A$3:$A$13,0),MATCH($A$180,E_budgeted!$B$2:$G$2,0))&gt;0,MIN('Vaal-Orange CMA'!D94,E_budgeted!D293),'Vaal-Orange CMA'!D94)</f>
        <v>1935517.9823714029</v>
      </c>
      <c r="E233" s="32">
        <f>IF(INDEX(E_budgeted!$B$3:$G$13,MATCH($A233,E_budgeted!$A$3:$A$13,0),MATCH($A$180,E_budgeted!$B$2:$G$2,0))&gt;0,MIN('Vaal-Orange CMA'!E94,E_budgeted!E293),'Vaal-Orange CMA'!E94)</f>
        <v>1935517.9823714029</v>
      </c>
      <c r="F233" s="32">
        <f>IF(INDEX(E_budgeted!$B$3:$G$13,MATCH($A233,E_budgeted!$A$3:$A$13,0),MATCH($A$180,E_budgeted!$B$2:$G$2,0))&gt;0,MIN('Vaal-Orange CMA'!F94,E_budgeted!F293),'Vaal-Orange CMA'!F94)</f>
        <v>1935517.9823714029</v>
      </c>
      <c r="G233" s="32">
        <f>IF(INDEX(E_budgeted!$B$3:$G$13,MATCH($A233,E_budgeted!$A$3:$A$13,0),MATCH($A$180,E_budgeted!$B$2:$G$2,0))&gt;0,MIN('Vaal-Orange CMA'!G94,E_budgeted!G293),'Vaal-Orange CMA'!G94)</f>
        <v>1935517.9823714029</v>
      </c>
      <c r="H233" s="32">
        <f>IF(INDEX(E_budgeted!$B$3:$G$13,MATCH($A233,E_budgeted!$A$3:$A$13,0),MATCH($A$180,E_budgeted!$B$2:$G$2,0))&gt;0,MIN('Vaal-Orange CMA'!H94,E_budgeted!H293),'Vaal-Orange CMA'!H94)</f>
        <v>1935517.9823714029</v>
      </c>
      <c r="I233" s="32">
        <f>IF(INDEX(E_budgeted!$B$3:$G$13,MATCH($A233,E_budgeted!$A$3:$A$13,0),MATCH($A$180,E_budgeted!$B$2:$G$2,0))&gt;0,MIN('Vaal-Orange CMA'!I94,E_budgeted!I293),'Vaal-Orange CMA'!I94)</f>
        <v>1935517.9823714029</v>
      </c>
      <c r="J233" s="32">
        <f>IF(INDEX(E_budgeted!$B$3:$G$13,MATCH($A233,E_budgeted!$A$3:$A$13,0),MATCH($A$180,E_budgeted!$B$2:$G$2,0))&gt;0,MIN('Vaal-Orange CMA'!J94,E_budgeted!J293),'Vaal-Orange CMA'!J94)</f>
        <v>1935517.9823714029</v>
      </c>
      <c r="K233" s="32">
        <f>IF(INDEX(E_budgeted!$B$3:$G$13,MATCH($A233,E_budgeted!$A$3:$A$13,0),MATCH($A$180,E_budgeted!$B$2:$G$2,0))&gt;0,MIN('Vaal-Orange CMA'!K94,E_budgeted!K293),'Vaal-Orange CMA'!K94)</f>
        <v>1935517.9823714029</v>
      </c>
      <c r="L233" s="5">
        <f t="shared" si="158"/>
        <v>1935517.9823714034</v>
      </c>
    </row>
    <row r="234" spans="1:12" x14ac:dyDescent="0.25">
      <c r="A234" s="4" t="s">
        <v>37</v>
      </c>
      <c r="B234" s="32">
        <f>IF(INDEX(E_budgeted!$B$3:$G$13,MATCH($A234,E_budgeted!$A$3:$A$13,0),MATCH($A$180,E_budgeted!$B$2:$G$2,0))&gt;0,MIN('Vaal-Orange CMA'!B95,E_budgeted!B294),'Vaal-Orange CMA'!B95)</f>
        <v>20015932.392431997</v>
      </c>
      <c r="C234" s="32">
        <f>IF(INDEX(E_budgeted!$B$3:$G$13,MATCH($A234,E_budgeted!$A$3:$A$13,0),MATCH($A$180,E_budgeted!$B$2:$G$2,0))&gt;0,MIN('Vaal-Orange CMA'!C95,E_budgeted!C294),'Vaal-Orange CMA'!C95)</f>
        <v>20015932.392431997</v>
      </c>
      <c r="D234" s="32">
        <f>IF(INDEX(E_budgeted!$B$3:$G$13,MATCH($A234,E_budgeted!$A$3:$A$13,0),MATCH($A$180,E_budgeted!$B$2:$G$2,0))&gt;0,MIN('Vaal-Orange CMA'!D95,E_budgeted!D294),'Vaal-Orange CMA'!D95)</f>
        <v>20015932.392431997</v>
      </c>
      <c r="E234" s="32">
        <f>IF(INDEX(E_budgeted!$B$3:$G$13,MATCH($A234,E_budgeted!$A$3:$A$13,0),MATCH($A$180,E_budgeted!$B$2:$G$2,0))&gt;0,MIN('Vaal-Orange CMA'!E95,E_budgeted!E294),'Vaal-Orange CMA'!E95)</f>
        <v>20015932.392431997</v>
      </c>
      <c r="F234" s="32">
        <f>IF(INDEX(E_budgeted!$B$3:$G$13,MATCH($A234,E_budgeted!$A$3:$A$13,0),MATCH($A$180,E_budgeted!$B$2:$G$2,0))&gt;0,MIN('Vaal-Orange CMA'!F95,E_budgeted!F294),'Vaal-Orange CMA'!F95)</f>
        <v>20015932.392431997</v>
      </c>
      <c r="G234" s="32">
        <f>IF(INDEX(E_budgeted!$B$3:$G$13,MATCH($A234,E_budgeted!$A$3:$A$13,0),MATCH($A$180,E_budgeted!$B$2:$G$2,0))&gt;0,MIN('Vaal-Orange CMA'!G95,E_budgeted!G294),'Vaal-Orange CMA'!G95)</f>
        <v>20015932.392431997</v>
      </c>
      <c r="H234" s="32">
        <f>IF(INDEX(E_budgeted!$B$3:$G$13,MATCH($A234,E_budgeted!$A$3:$A$13,0),MATCH($A$180,E_budgeted!$B$2:$G$2,0))&gt;0,MIN('Vaal-Orange CMA'!H95,E_budgeted!H294),'Vaal-Orange CMA'!H95)</f>
        <v>20015932.392431997</v>
      </c>
      <c r="I234" s="32">
        <f>IF(INDEX(E_budgeted!$B$3:$G$13,MATCH($A234,E_budgeted!$A$3:$A$13,0),MATCH($A$180,E_budgeted!$B$2:$G$2,0))&gt;0,MIN('Vaal-Orange CMA'!I95,E_budgeted!I294),'Vaal-Orange CMA'!I95)</f>
        <v>20015932.392431997</v>
      </c>
      <c r="J234" s="32">
        <f>IF(INDEX(E_budgeted!$B$3:$G$13,MATCH($A234,E_budgeted!$A$3:$A$13,0),MATCH($A$180,E_budgeted!$B$2:$G$2,0))&gt;0,MIN('Vaal-Orange CMA'!J95,E_budgeted!J294),'Vaal-Orange CMA'!J95)</f>
        <v>20015932.392431997</v>
      </c>
      <c r="K234" s="32">
        <f>IF(INDEX(E_budgeted!$B$3:$G$13,MATCH($A234,E_budgeted!$A$3:$A$13,0),MATCH($A$180,E_budgeted!$B$2:$G$2,0))&gt;0,MIN('Vaal-Orange CMA'!K95,E_budgeted!K294),'Vaal-Orange CMA'!K95)</f>
        <v>20015932.392431997</v>
      </c>
      <c r="L234" s="5">
        <f t="shared" si="158"/>
        <v>20015932.392432</v>
      </c>
    </row>
    <row r="235" spans="1:12" x14ac:dyDescent="0.25">
      <c r="A235" s="4" t="s">
        <v>38</v>
      </c>
      <c r="B235" s="32">
        <f>IF(INDEX(E_budgeted!$B$3:$G$13,MATCH($A235,E_budgeted!$A$3:$A$13,0),MATCH($A$180,E_budgeted!$B$2:$G$2,0))&gt;0,MIN('Vaal-Orange CMA'!B96,E_budgeted!B295),'Vaal-Orange CMA'!B96)</f>
        <v>539073.61472294363</v>
      </c>
      <c r="C235" s="32">
        <f>IF(INDEX(E_budgeted!$B$3:$G$13,MATCH($A235,E_budgeted!$A$3:$A$13,0),MATCH($A$180,E_budgeted!$B$2:$G$2,0))&gt;0,MIN('Vaal-Orange CMA'!C96,E_budgeted!C295),'Vaal-Orange CMA'!C96)</f>
        <v>539073.61472294363</v>
      </c>
      <c r="D235" s="32">
        <f>IF(INDEX(E_budgeted!$B$3:$G$13,MATCH($A235,E_budgeted!$A$3:$A$13,0),MATCH($A$180,E_budgeted!$B$2:$G$2,0))&gt;0,MIN('Vaal-Orange CMA'!D96,E_budgeted!D295),'Vaal-Orange CMA'!D96)</f>
        <v>539073.61472294363</v>
      </c>
      <c r="E235" s="32">
        <f>IF(INDEX(E_budgeted!$B$3:$G$13,MATCH($A235,E_budgeted!$A$3:$A$13,0),MATCH($A$180,E_budgeted!$B$2:$G$2,0))&gt;0,MIN('Vaal-Orange CMA'!E96,E_budgeted!E295),'Vaal-Orange CMA'!E96)</f>
        <v>539073.61472294363</v>
      </c>
      <c r="F235" s="32">
        <f>IF(INDEX(E_budgeted!$B$3:$G$13,MATCH($A235,E_budgeted!$A$3:$A$13,0),MATCH($A$180,E_budgeted!$B$2:$G$2,0))&gt;0,MIN('Vaal-Orange CMA'!F96,E_budgeted!F295),'Vaal-Orange CMA'!F96)</f>
        <v>539073.61472294363</v>
      </c>
      <c r="G235" s="32">
        <f>IF(INDEX(E_budgeted!$B$3:$G$13,MATCH($A235,E_budgeted!$A$3:$A$13,0),MATCH($A$180,E_budgeted!$B$2:$G$2,0))&gt;0,MIN('Vaal-Orange CMA'!G96,E_budgeted!G295),'Vaal-Orange CMA'!G96)</f>
        <v>539073.61472294363</v>
      </c>
      <c r="H235" s="32">
        <f>IF(INDEX(E_budgeted!$B$3:$G$13,MATCH($A235,E_budgeted!$A$3:$A$13,0),MATCH($A$180,E_budgeted!$B$2:$G$2,0))&gt;0,MIN('Vaal-Orange CMA'!H96,E_budgeted!H295),'Vaal-Orange CMA'!H96)</f>
        <v>539073.61472294363</v>
      </c>
      <c r="I235" s="32">
        <f>IF(INDEX(E_budgeted!$B$3:$G$13,MATCH($A235,E_budgeted!$A$3:$A$13,0),MATCH($A$180,E_budgeted!$B$2:$G$2,0))&gt;0,MIN('Vaal-Orange CMA'!I96,E_budgeted!I295),'Vaal-Orange CMA'!I96)</f>
        <v>539073.61472294363</v>
      </c>
      <c r="J235" s="32">
        <f>IF(INDEX(E_budgeted!$B$3:$G$13,MATCH($A235,E_budgeted!$A$3:$A$13,0),MATCH($A$180,E_budgeted!$B$2:$G$2,0))&gt;0,MIN('Vaal-Orange CMA'!J96,E_budgeted!J295),'Vaal-Orange CMA'!J96)</f>
        <v>539073.61472294363</v>
      </c>
      <c r="K235" s="32">
        <f>IF(INDEX(E_budgeted!$B$3:$G$13,MATCH($A235,E_budgeted!$A$3:$A$13,0),MATCH($A$180,E_budgeted!$B$2:$G$2,0))&gt;0,MIN('Vaal-Orange CMA'!K96,E_budgeted!K295),'Vaal-Orange CMA'!K96)</f>
        <v>539073.61472294363</v>
      </c>
      <c r="L235" s="5">
        <f t="shared" si="158"/>
        <v>539073.61472294375</v>
      </c>
    </row>
    <row r="236" spans="1:12" x14ac:dyDescent="0.25">
      <c r="A236" s="4" t="s">
        <v>15</v>
      </c>
      <c r="B236" s="13">
        <f>IF(INDEX(E_budgeted!$B$3:$G$13,MATCH($A236,E_budgeted!$A$3:$A$13,0),MATCH($A$180,E_budgeted!$B$2:$G$2,0))&gt;0,MIN('Vaal-Orange CMA'!B97,E_budgeted!B296),'Vaal-Orange CMA'!B97)</f>
        <v>16490864.411249999</v>
      </c>
      <c r="C236" s="13">
        <f>IF(INDEX(E_budgeted!$B$3:$G$13,MATCH($A236,E_budgeted!$A$3:$A$13,0),MATCH($A$180,E_budgeted!$B$2:$G$2,0))&gt;0,MIN('Vaal-Orange CMA'!C97,E_budgeted!C296),'Vaal-Orange CMA'!C97)</f>
        <v>16490864.411249999</v>
      </c>
      <c r="D236" s="13">
        <f>IF(INDEX(E_budgeted!$B$3:$G$13,MATCH($A236,E_budgeted!$A$3:$A$13,0),MATCH($A$180,E_budgeted!$B$2:$G$2,0))&gt;0,MIN('Vaal-Orange CMA'!D97,E_budgeted!D296),'Vaal-Orange CMA'!D97)</f>
        <v>16490864.411249999</v>
      </c>
      <c r="E236" s="13">
        <f>IF(INDEX(E_budgeted!$B$3:$G$13,MATCH($A236,E_budgeted!$A$3:$A$13,0),MATCH($A$180,E_budgeted!$B$2:$G$2,0))&gt;0,MIN('Vaal-Orange CMA'!E97,E_budgeted!E296),'Vaal-Orange CMA'!E97)</f>
        <v>16490864.411249999</v>
      </c>
      <c r="F236" s="13">
        <f>IF(INDEX(E_budgeted!$B$3:$G$13,MATCH($A236,E_budgeted!$A$3:$A$13,0),MATCH($A$180,E_budgeted!$B$2:$G$2,0))&gt;0,MIN('Vaal-Orange CMA'!F97,E_budgeted!F296),'Vaal-Orange CMA'!F97)</f>
        <v>16490864.411249999</v>
      </c>
      <c r="G236" s="13">
        <f>IF(INDEX(E_budgeted!$B$3:$G$13,MATCH($A236,E_budgeted!$A$3:$A$13,0),MATCH($A$180,E_budgeted!$B$2:$G$2,0))&gt;0,MIN('Vaal-Orange CMA'!G97,E_budgeted!G296),'Vaal-Orange CMA'!G97)</f>
        <v>16490864.411249999</v>
      </c>
      <c r="H236" s="13">
        <f>IF(INDEX(E_budgeted!$B$3:$G$13,MATCH($A236,E_budgeted!$A$3:$A$13,0),MATCH($A$180,E_budgeted!$B$2:$G$2,0))&gt;0,MIN('Vaal-Orange CMA'!H97,E_budgeted!H296),'Vaal-Orange CMA'!H97)</f>
        <v>16490864.411249999</v>
      </c>
      <c r="I236" s="13">
        <f>IF(INDEX(E_budgeted!$B$3:$G$13,MATCH($A236,E_budgeted!$A$3:$A$13,0),MATCH($A$180,E_budgeted!$B$2:$G$2,0))&gt;0,MIN('Vaal-Orange CMA'!I97,E_budgeted!I296),'Vaal-Orange CMA'!I97)</f>
        <v>16490864.411249999</v>
      </c>
      <c r="J236" s="13">
        <f>IF(INDEX(E_budgeted!$B$3:$G$13,MATCH($A236,E_budgeted!$A$3:$A$13,0),MATCH($A$180,E_budgeted!$B$2:$G$2,0))&gt;0,MIN('Vaal-Orange CMA'!J97,E_budgeted!J296),'Vaal-Orange CMA'!J97)</f>
        <v>16490864.411249999</v>
      </c>
      <c r="K236" s="13">
        <f>IF(INDEX(E_budgeted!$B$3:$G$13,MATCH($A236,E_budgeted!$A$3:$A$13,0),MATCH($A$180,E_budgeted!$B$2:$G$2,0))&gt;0,MIN('Vaal-Orange CMA'!K97,E_budgeted!K296),'Vaal-Orange CMA'!K97)</f>
        <v>16490864.411249999</v>
      </c>
      <c r="L236" s="5">
        <f t="shared" si="158"/>
        <v>16490864.411249999</v>
      </c>
    </row>
    <row r="237" spans="1:12" x14ac:dyDescent="0.25">
      <c r="B237" s="5">
        <f>SUM(B226:B236)</f>
        <v>53918303.89116168</v>
      </c>
      <c r="C237" s="5">
        <f t="shared" ref="C237:K237" si="159">SUM(C226:C236)</f>
        <v>53918303.89116168</v>
      </c>
      <c r="D237" s="5">
        <f t="shared" si="159"/>
        <v>53918303.89116168</v>
      </c>
      <c r="E237" s="5">
        <f t="shared" si="159"/>
        <v>53918303.89116168</v>
      </c>
      <c r="F237" s="5">
        <f t="shared" si="159"/>
        <v>53918303.89116168</v>
      </c>
      <c r="G237" s="5">
        <f t="shared" si="159"/>
        <v>53918303.89116168</v>
      </c>
      <c r="H237" s="5">
        <f t="shared" si="159"/>
        <v>53918303.89116168</v>
      </c>
      <c r="I237" s="5">
        <f t="shared" si="159"/>
        <v>53918303.89116168</v>
      </c>
      <c r="J237" s="5">
        <f t="shared" si="159"/>
        <v>53918303.89116168</v>
      </c>
      <c r="K237" s="5">
        <f t="shared" si="159"/>
        <v>53918303.89116168</v>
      </c>
      <c r="L237" s="5"/>
    </row>
    <row r="238" spans="1:12" x14ac:dyDescent="0.25">
      <c r="B238" s="16">
        <f>B237/$B$194</f>
        <v>0.30353889798536149</v>
      </c>
    </row>
    <row r="239" spans="1:12" s="3" customFormat="1" x14ac:dyDescent="0.25">
      <c r="A239" s="2" t="s">
        <v>32</v>
      </c>
    </row>
    <row r="241" spans="1:12" x14ac:dyDescent="0.25">
      <c r="A241" s="1" t="s">
        <v>60</v>
      </c>
      <c r="B241" s="12" t="str">
        <f>'Summary dashboard'!C4</f>
        <v>2023</v>
      </c>
      <c r="C241" s="12">
        <f t="shared" ref="C241" si="160">B241+1</f>
        <v>2024</v>
      </c>
      <c r="D241" s="12">
        <f t="shared" ref="D241" si="161">C241+1</f>
        <v>2025</v>
      </c>
      <c r="E241" s="12">
        <f t="shared" ref="E241" si="162">D241+1</f>
        <v>2026</v>
      </c>
      <c r="F241" s="12">
        <f t="shared" ref="F241" si="163">E241+1</f>
        <v>2027</v>
      </c>
      <c r="G241" s="12">
        <f t="shared" ref="G241" si="164">F241+1</f>
        <v>2028</v>
      </c>
      <c r="H241" s="12">
        <f t="shared" ref="H241" si="165">G241+1</f>
        <v>2029</v>
      </c>
      <c r="I241" s="12">
        <f t="shared" ref="I241" si="166">H241+1</f>
        <v>2030</v>
      </c>
      <c r="J241" s="12">
        <f t="shared" ref="J241" si="167">I241+1</f>
        <v>2031</v>
      </c>
      <c r="K241" s="12">
        <f t="shared" ref="K241" si="168">J241+1</f>
        <v>2032</v>
      </c>
      <c r="L241" s="1" t="s">
        <v>28</v>
      </c>
    </row>
    <row r="242" spans="1:12" x14ac:dyDescent="0.25">
      <c r="A242" s="4" t="s">
        <v>35</v>
      </c>
      <c r="B242" s="32">
        <f>IF(INDEX(E_budgeted!$B$3:$G$13,MATCH($A242,E_budgeted!$A$3:$A$13,0),MATCH($A$239,E_budgeted!$B$2:$G$2,0))&gt;0,MIN('Mzimvubu-Tsitsikamma CMA'!B44,E_budgeted!B314),'Mzimvubu-Tsitsikamma CMA'!B44)</f>
        <v>6135338.3905698536</v>
      </c>
      <c r="C242" s="32">
        <f>IF(INDEX(E_budgeted!$B$3:$G$13,MATCH($A242,E_budgeted!$A$3:$A$13,0),MATCH($A$239,E_budgeted!$B$2:$G$2,0))&gt;0,MIN('Mzimvubu-Tsitsikamma CMA'!C44,E_budgeted!C314),'Mzimvubu-Tsitsikamma CMA'!C44)</f>
        <v>6135338.3905698536</v>
      </c>
      <c r="D242" s="32">
        <f>IF(INDEX(E_budgeted!$B$3:$G$13,MATCH($A242,E_budgeted!$A$3:$A$13,0),MATCH($A$239,E_budgeted!$B$2:$G$2,0))&gt;0,MIN('Mzimvubu-Tsitsikamma CMA'!D44,E_budgeted!D314),'Mzimvubu-Tsitsikamma CMA'!D44)</f>
        <v>6135338.3905698536</v>
      </c>
      <c r="E242" s="32">
        <f>IF(INDEX(E_budgeted!$B$3:$G$13,MATCH($A242,E_budgeted!$A$3:$A$13,0),MATCH($A$239,E_budgeted!$B$2:$G$2,0))&gt;0,MIN('Mzimvubu-Tsitsikamma CMA'!E44,E_budgeted!E314),'Mzimvubu-Tsitsikamma CMA'!E44)</f>
        <v>6135338.3905698536</v>
      </c>
      <c r="F242" s="32">
        <f>IF(INDEX(E_budgeted!$B$3:$G$13,MATCH($A242,E_budgeted!$A$3:$A$13,0),MATCH($A$239,E_budgeted!$B$2:$G$2,0))&gt;0,MIN('Mzimvubu-Tsitsikamma CMA'!F44,E_budgeted!F314),'Mzimvubu-Tsitsikamma CMA'!F44)</f>
        <v>6135338.3905698536</v>
      </c>
      <c r="G242" s="32">
        <f>IF(INDEX(E_budgeted!$B$3:$G$13,MATCH($A242,E_budgeted!$A$3:$A$13,0),MATCH($A$239,E_budgeted!$B$2:$G$2,0))&gt;0,MIN('Mzimvubu-Tsitsikamma CMA'!G44,E_budgeted!G314),'Mzimvubu-Tsitsikamma CMA'!G44)</f>
        <v>6135338.3905698536</v>
      </c>
      <c r="H242" s="32">
        <f>IF(INDEX(E_budgeted!$B$3:$G$13,MATCH($A242,E_budgeted!$A$3:$A$13,0),MATCH($A$239,E_budgeted!$B$2:$G$2,0))&gt;0,MIN('Mzimvubu-Tsitsikamma CMA'!H44,E_budgeted!H314),'Mzimvubu-Tsitsikamma CMA'!H44)</f>
        <v>6135338.3905698536</v>
      </c>
      <c r="I242" s="32">
        <f>IF(INDEX(E_budgeted!$B$3:$G$13,MATCH($A242,E_budgeted!$A$3:$A$13,0),MATCH($A$239,E_budgeted!$B$2:$G$2,0))&gt;0,MIN('Mzimvubu-Tsitsikamma CMA'!I44,E_budgeted!I314),'Mzimvubu-Tsitsikamma CMA'!I44)</f>
        <v>6135338.3905698536</v>
      </c>
      <c r="J242" s="32">
        <f>IF(INDEX(E_budgeted!$B$3:$G$13,MATCH($A242,E_budgeted!$A$3:$A$13,0),MATCH($A$239,E_budgeted!$B$2:$G$2,0))&gt;0,MIN('Mzimvubu-Tsitsikamma CMA'!J44,E_budgeted!J314),'Mzimvubu-Tsitsikamma CMA'!J44)</f>
        <v>6135338.3905698536</v>
      </c>
      <c r="K242" s="32">
        <f>IF(INDEX(E_budgeted!$B$3:$G$13,MATCH($A242,E_budgeted!$A$3:$A$13,0),MATCH($A$239,E_budgeted!$B$2:$G$2,0))&gt;0,MIN('Mzimvubu-Tsitsikamma CMA'!K44,E_budgeted!K314),'Mzimvubu-Tsitsikamma CMA'!K44)</f>
        <v>6135338.3905698536</v>
      </c>
      <c r="L242" s="5">
        <f t="shared" ref="L242:L252" si="169">AVERAGE(B242:K242)</f>
        <v>6135338.3905698527</v>
      </c>
    </row>
    <row r="243" spans="1:12" x14ac:dyDescent="0.25">
      <c r="A243" s="4" t="s">
        <v>36</v>
      </c>
      <c r="B243" s="32">
        <f>IF(INDEX(E_budgeted!$B$3:$G$13,MATCH($A243,E_budgeted!$A$3:$A$13,0),MATCH($A$239,E_budgeted!$B$2:$G$2,0))&gt;0,MIN('Mzimvubu-Tsitsikamma CMA'!B45,E_budgeted!B315),'Mzimvubu-Tsitsikamma CMA'!B45)</f>
        <v>3363290.7620645668</v>
      </c>
      <c r="C243" s="32">
        <f>IF(INDEX(E_budgeted!$B$3:$G$13,MATCH($A243,E_budgeted!$A$3:$A$13,0),MATCH($A$239,E_budgeted!$B$2:$G$2,0))&gt;0,MIN('Mzimvubu-Tsitsikamma CMA'!C45,E_budgeted!C315),'Mzimvubu-Tsitsikamma CMA'!C45)</f>
        <v>3363290.7620645668</v>
      </c>
      <c r="D243" s="32">
        <f>IF(INDEX(E_budgeted!$B$3:$G$13,MATCH($A243,E_budgeted!$A$3:$A$13,0),MATCH($A$239,E_budgeted!$B$2:$G$2,0))&gt;0,MIN('Mzimvubu-Tsitsikamma CMA'!D45,E_budgeted!D315),'Mzimvubu-Tsitsikamma CMA'!D45)</f>
        <v>3363290.7620645668</v>
      </c>
      <c r="E243" s="32">
        <f>IF(INDEX(E_budgeted!$B$3:$G$13,MATCH($A243,E_budgeted!$A$3:$A$13,0),MATCH($A$239,E_budgeted!$B$2:$G$2,0))&gt;0,MIN('Mzimvubu-Tsitsikamma CMA'!E45,E_budgeted!E315),'Mzimvubu-Tsitsikamma CMA'!E45)</f>
        <v>3363290.7620645668</v>
      </c>
      <c r="F243" s="32">
        <f>IF(INDEX(E_budgeted!$B$3:$G$13,MATCH($A243,E_budgeted!$A$3:$A$13,0),MATCH($A$239,E_budgeted!$B$2:$G$2,0))&gt;0,MIN('Mzimvubu-Tsitsikamma CMA'!F45,E_budgeted!F315),'Mzimvubu-Tsitsikamma CMA'!F45)</f>
        <v>3363290.7620645668</v>
      </c>
      <c r="G243" s="32">
        <f>IF(INDEX(E_budgeted!$B$3:$G$13,MATCH($A243,E_budgeted!$A$3:$A$13,0),MATCH($A$239,E_budgeted!$B$2:$G$2,0))&gt;0,MIN('Mzimvubu-Tsitsikamma CMA'!G45,E_budgeted!G315),'Mzimvubu-Tsitsikamma CMA'!G45)</f>
        <v>3363290.7620645668</v>
      </c>
      <c r="H243" s="32">
        <f>IF(INDEX(E_budgeted!$B$3:$G$13,MATCH($A243,E_budgeted!$A$3:$A$13,0),MATCH($A$239,E_budgeted!$B$2:$G$2,0))&gt;0,MIN('Mzimvubu-Tsitsikamma CMA'!H45,E_budgeted!H315),'Mzimvubu-Tsitsikamma CMA'!H45)</f>
        <v>3363290.7620645668</v>
      </c>
      <c r="I243" s="32">
        <f>IF(INDEX(E_budgeted!$B$3:$G$13,MATCH($A243,E_budgeted!$A$3:$A$13,0),MATCH($A$239,E_budgeted!$B$2:$G$2,0))&gt;0,MIN('Mzimvubu-Tsitsikamma CMA'!I45,E_budgeted!I315),'Mzimvubu-Tsitsikamma CMA'!I45)</f>
        <v>3363290.7620645668</v>
      </c>
      <c r="J243" s="32">
        <f>IF(INDEX(E_budgeted!$B$3:$G$13,MATCH($A243,E_budgeted!$A$3:$A$13,0),MATCH($A$239,E_budgeted!$B$2:$G$2,0))&gt;0,MIN('Mzimvubu-Tsitsikamma CMA'!J45,E_budgeted!J315),'Mzimvubu-Tsitsikamma CMA'!J45)</f>
        <v>3363290.7620645668</v>
      </c>
      <c r="K243" s="32">
        <f>IF(INDEX(E_budgeted!$B$3:$G$13,MATCH($A243,E_budgeted!$A$3:$A$13,0),MATCH($A$239,E_budgeted!$B$2:$G$2,0))&gt;0,MIN('Mzimvubu-Tsitsikamma CMA'!K45,E_budgeted!K315),'Mzimvubu-Tsitsikamma CMA'!K45)</f>
        <v>3363290.7620645668</v>
      </c>
      <c r="L243" s="5">
        <f t="shared" si="169"/>
        <v>3363290.7620645678</v>
      </c>
    </row>
    <row r="244" spans="1:12" x14ac:dyDescent="0.25">
      <c r="A244" s="4" t="s">
        <v>11</v>
      </c>
      <c r="B244" s="32">
        <f>IF(INDEX(E_budgeted!$B$3:$G$13,MATCH($A244,E_budgeted!$A$3:$A$13,0),MATCH($A$239,E_budgeted!$B$2:$G$2,0))&gt;0,MIN('Mzimvubu-Tsitsikamma CMA'!B46,E_budgeted!B316),'Mzimvubu-Tsitsikamma CMA'!B46)</f>
        <v>0</v>
      </c>
      <c r="C244" s="32">
        <f>IF(INDEX(E_budgeted!$B$3:$G$13,MATCH($A244,E_budgeted!$A$3:$A$13,0),MATCH($A$239,E_budgeted!$B$2:$G$2,0))&gt;0,MIN('Mzimvubu-Tsitsikamma CMA'!C46,E_budgeted!C316),'Mzimvubu-Tsitsikamma CMA'!C46)</f>
        <v>0</v>
      </c>
      <c r="D244" s="32">
        <f>IF(INDEX(E_budgeted!$B$3:$G$13,MATCH($A244,E_budgeted!$A$3:$A$13,0),MATCH($A$239,E_budgeted!$B$2:$G$2,0))&gt;0,MIN('Mzimvubu-Tsitsikamma CMA'!D46,E_budgeted!D316),'Mzimvubu-Tsitsikamma CMA'!D46)</f>
        <v>0</v>
      </c>
      <c r="E244" s="32">
        <f>IF(INDEX(E_budgeted!$B$3:$G$13,MATCH($A244,E_budgeted!$A$3:$A$13,0),MATCH($A$239,E_budgeted!$B$2:$G$2,0))&gt;0,MIN('Mzimvubu-Tsitsikamma CMA'!E46,E_budgeted!E316),'Mzimvubu-Tsitsikamma CMA'!E46)</f>
        <v>0</v>
      </c>
      <c r="F244" s="32">
        <f>IF(INDEX(E_budgeted!$B$3:$G$13,MATCH($A244,E_budgeted!$A$3:$A$13,0),MATCH($A$239,E_budgeted!$B$2:$G$2,0))&gt;0,MIN('Mzimvubu-Tsitsikamma CMA'!F46,E_budgeted!F316),'Mzimvubu-Tsitsikamma CMA'!F46)</f>
        <v>0</v>
      </c>
      <c r="G244" s="32">
        <f>IF(INDEX(E_budgeted!$B$3:$G$13,MATCH($A244,E_budgeted!$A$3:$A$13,0),MATCH($A$239,E_budgeted!$B$2:$G$2,0))&gt;0,MIN('Mzimvubu-Tsitsikamma CMA'!G46,E_budgeted!G316),'Mzimvubu-Tsitsikamma CMA'!G46)</f>
        <v>0</v>
      </c>
      <c r="H244" s="32">
        <f>IF(INDEX(E_budgeted!$B$3:$G$13,MATCH($A244,E_budgeted!$A$3:$A$13,0),MATCH($A$239,E_budgeted!$B$2:$G$2,0))&gt;0,MIN('Mzimvubu-Tsitsikamma CMA'!H46,E_budgeted!H316),'Mzimvubu-Tsitsikamma CMA'!H46)</f>
        <v>0</v>
      </c>
      <c r="I244" s="32">
        <f>IF(INDEX(E_budgeted!$B$3:$G$13,MATCH($A244,E_budgeted!$A$3:$A$13,0),MATCH($A$239,E_budgeted!$B$2:$G$2,0))&gt;0,MIN('Mzimvubu-Tsitsikamma CMA'!I46,E_budgeted!I316),'Mzimvubu-Tsitsikamma CMA'!I46)</f>
        <v>0</v>
      </c>
      <c r="J244" s="32">
        <f>IF(INDEX(E_budgeted!$B$3:$G$13,MATCH($A244,E_budgeted!$A$3:$A$13,0),MATCH($A$239,E_budgeted!$B$2:$G$2,0))&gt;0,MIN('Mzimvubu-Tsitsikamma CMA'!J46,E_budgeted!J316),'Mzimvubu-Tsitsikamma CMA'!J46)</f>
        <v>0</v>
      </c>
      <c r="K244" s="32">
        <f>IF(INDEX(E_budgeted!$B$3:$G$13,MATCH($A244,E_budgeted!$A$3:$A$13,0),MATCH($A$239,E_budgeted!$B$2:$G$2,0))&gt;0,MIN('Mzimvubu-Tsitsikamma CMA'!K46,E_budgeted!K316),'Mzimvubu-Tsitsikamma CMA'!K46)</f>
        <v>0</v>
      </c>
      <c r="L244" s="5">
        <f t="shared" si="169"/>
        <v>0</v>
      </c>
    </row>
    <row r="245" spans="1:12" x14ac:dyDescent="0.25">
      <c r="A245" s="4" t="s">
        <v>124</v>
      </c>
      <c r="B245" s="32">
        <f>IF(INDEX(E_budgeted!$B$3:$G$13,MATCH($A245,E_budgeted!$A$3:$A$13,0),MATCH($A$239,E_budgeted!$B$2:$G$2,0))&gt;0,MIN('Mzimvubu-Tsitsikamma CMA'!B47,E_budgeted!B317),'Mzimvubu-Tsitsikamma CMA'!B47)</f>
        <v>500000</v>
      </c>
      <c r="C245" s="32">
        <f>IF(INDEX(E_budgeted!$B$3:$G$13,MATCH($A245,E_budgeted!$A$3:$A$13,0),MATCH($A$239,E_budgeted!$B$2:$G$2,0))&gt;0,MIN('Mzimvubu-Tsitsikamma CMA'!C47,E_budgeted!C317),'Mzimvubu-Tsitsikamma CMA'!C47)</f>
        <v>500000</v>
      </c>
      <c r="D245" s="32">
        <f>IF(INDEX(E_budgeted!$B$3:$G$13,MATCH($A245,E_budgeted!$A$3:$A$13,0),MATCH($A$239,E_budgeted!$B$2:$G$2,0))&gt;0,MIN('Mzimvubu-Tsitsikamma CMA'!D47,E_budgeted!D317),'Mzimvubu-Tsitsikamma CMA'!D47)</f>
        <v>500000</v>
      </c>
      <c r="E245" s="32">
        <f>IF(INDEX(E_budgeted!$B$3:$G$13,MATCH($A245,E_budgeted!$A$3:$A$13,0),MATCH($A$239,E_budgeted!$B$2:$G$2,0))&gt;0,MIN('Mzimvubu-Tsitsikamma CMA'!E47,E_budgeted!E317),'Mzimvubu-Tsitsikamma CMA'!E47)</f>
        <v>500000</v>
      </c>
      <c r="F245" s="32">
        <f>IF(INDEX(E_budgeted!$B$3:$G$13,MATCH($A245,E_budgeted!$A$3:$A$13,0),MATCH($A$239,E_budgeted!$B$2:$G$2,0))&gt;0,MIN('Mzimvubu-Tsitsikamma CMA'!F47,E_budgeted!F317),'Mzimvubu-Tsitsikamma CMA'!F47)</f>
        <v>500000</v>
      </c>
      <c r="G245" s="32">
        <f>IF(INDEX(E_budgeted!$B$3:$G$13,MATCH($A245,E_budgeted!$A$3:$A$13,0),MATCH($A$239,E_budgeted!$B$2:$G$2,0))&gt;0,MIN('Mzimvubu-Tsitsikamma CMA'!G47,E_budgeted!G317),'Mzimvubu-Tsitsikamma CMA'!G47)</f>
        <v>500000</v>
      </c>
      <c r="H245" s="32">
        <f>IF(INDEX(E_budgeted!$B$3:$G$13,MATCH($A245,E_budgeted!$A$3:$A$13,0),MATCH($A$239,E_budgeted!$B$2:$G$2,0))&gt;0,MIN('Mzimvubu-Tsitsikamma CMA'!H47,E_budgeted!H317),'Mzimvubu-Tsitsikamma CMA'!H47)</f>
        <v>500000</v>
      </c>
      <c r="I245" s="32">
        <f>IF(INDEX(E_budgeted!$B$3:$G$13,MATCH($A245,E_budgeted!$A$3:$A$13,0),MATCH($A$239,E_budgeted!$B$2:$G$2,0))&gt;0,MIN('Mzimvubu-Tsitsikamma CMA'!I47,E_budgeted!I317),'Mzimvubu-Tsitsikamma CMA'!I47)</f>
        <v>500000</v>
      </c>
      <c r="J245" s="32">
        <f>IF(INDEX(E_budgeted!$B$3:$G$13,MATCH($A245,E_budgeted!$A$3:$A$13,0),MATCH($A$239,E_budgeted!$B$2:$G$2,0))&gt;0,MIN('Mzimvubu-Tsitsikamma CMA'!J47,E_budgeted!J317),'Mzimvubu-Tsitsikamma CMA'!J47)</f>
        <v>500000</v>
      </c>
      <c r="K245" s="32">
        <f>IF(INDEX(E_budgeted!$B$3:$G$13,MATCH($A245,E_budgeted!$A$3:$A$13,0),MATCH($A$239,E_budgeted!$B$2:$G$2,0))&gt;0,MIN('Mzimvubu-Tsitsikamma CMA'!K47,E_budgeted!K317),'Mzimvubu-Tsitsikamma CMA'!K47)</f>
        <v>500000</v>
      </c>
      <c r="L245" s="5">
        <f t="shared" si="169"/>
        <v>500000</v>
      </c>
    </row>
    <row r="246" spans="1:12" x14ac:dyDescent="0.25">
      <c r="A246" s="4" t="s">
        <v>12</v>
      </c>
      <c r="B246" s="32">
        <f>IF(INDEX(E_budgeted!$B$3:$G$13,MATCH($A246,E_budgeted!$A$3:$A$13,0),MATCH($A$239,E_budgeted!$B$2:$G$2,0))&gt;0,MIN('Mzimvubu-Tsitsikamma CMA'!B48,E_budgeted!B318),'Mzimvubu-Tsitsikamma CMA'!B48)</f>
        <v>15135160.683333334</v>
      </c>
      <c r="C246" s="32">
        <f>IF(INDEX(E_budgeted!$B$3:$G$13,MATCH($A246,E_budgeted!$A$3:$A$13,0),MATCH($A$239,E_budgeted!$B$2:$G$2,0))&gt;0,MIN('Mzimvubu-Tsitsikamma CMA'!C48,E_budgeted!C318),'Mzimvubu-Tsitsikamma CMA'!C48)</f>
        <v>15135160.683333334</v>
      </c>
      <c r="D246" s="32">
        <f>IF(INDEX(E_budgeted!$B$3:$G$13,MATCH($A246,E_budgeted!$A$3:$A$13,0),MATCH($A$239,E_budgeted!$B$2:$G$2,0))&gt;0,MIN('Mzimvubu-Tsitsikamma CMA'!D48,E_budgeted!D318),'Mzimvubu-Tsitsikamma CMA'!D48)</f>
        <v>15135160.683333334</v>
      </c>
      <c r="E246" s="32">
        <f>IF(INDEX(E_budgeted!$B$3:$G$13,MATCH($A246,E_budgeted!$A$3:$A$13,0),MATCH($A$239,E_budgeted!$B$2:$G$2,0))&gt;0,MIN('Mzimvubu-Tsitsikamma CMA'!E48,E_budgeted!E318),'Mzimvubu-Tsitsikamma CMA'!E48)</f>
        <v>15135160.683333334</v>
      </c>
      <c r="F246" s="32">
        <f>IF(INDEX(E_budgeted!$B$3:$G$13,MATCH($A246,E_budgeted!$A$3:$A$13,0),MATCH($A$239,E_budgeted!$B$2:$G$2,0))&gt;0,MIN('Mzimvubu-Tsitsikamma CMA'!F48,E_budgeted!F318),'Mzimvubu-Tsitsikamma CMA'!F48)</f>
        <v>15135160.683333334</v>
      </c>
      <c r="G246" s="32">
        <f>IF(INDEX(E_budgeted!$B$3:$G$13,MATCH($A246,E_budgeted!$A$3:$A$13,0),MATCH($A$239,E_budgeted!$B$2:$G$2,0))&gt;0,MIN('Mzimvubu-Tsitsikamma CMA'!G48,E_budgeted!G318),'Mzimvubu-Tsitsikamma CMA'!G48)</f>
        <v>15135160.683333334</v>
      </c>
      <c r="H246" s="32">
        <f>IF(INDEX(E_budgeted!$B$3:$G$13,MATCH($A246,E_budgeted!$A$3:$A$13,0),MATCH($A$239,E_budgeted!$B$2:$G$2,0))&gt;0,MIN('Mzimvubu-Tsitsikamma CMA'!H48,E_budgeted!H318),'Mzimvubu-Tsitsikamma CMA'!H48)</f>
        <v>15135160.683333334</v>
      </c>
      <c r="I246" s="32">
        <f>IF(INDEX(E_budgeted!$B$3:$G$13,MATCH($A246,E_budgeted!$A$3:$A$13,0),MATCH($A$239,E_budgeted!$B$2:$G$2,0))&gt;0,MIN('Mzimvubu-Tsitsikamma CMA'!I48,E_budgeted!I318),'Mzimvubu-Tsitsikamma CMA'!I48)</f>
        <v>15135160.683333334</v>
      </c>
      <c r="J246" s="32">
        <f>IF(INDEX(E_budgeted!$B$3:$G$13,MATCH($A246,E_budgeted!$A$3:$A$13,0),MATCH($A$239,E_budgeted!$B$2:$G$2,0))&gt;0,MIN('Mzimvubu-Tsitsikamma CMA'!J48,E_budgeted!J318),'Mzimvubu-Tsitsikamma CMA'!J48)</f>
        <v>15135160.683333334</v>
      </c>
      <c r="K246" s="32">
        <f>IF(INDEX(E_budgeted!$B$3:$G$13,MATCH($A246,E_budgeted!$A$3:$A$13,0),MATCH($A$239,E_budgeted!$B$2:$G$2,0))&gt;0,MIN('Mzimvubu-Tsitsikamma CMA'!K48,E_budgeted!K318),'Mzimvubu-Tsitsikamma CMA'!K48)</f>
        <v>15135160.683333334</v>
      </c>
      <c r="L246" s="5">
        <f t="shared" si="169"/>
        <v>15135160.683333334</v>
      </c>
    </row>
    <row r="247" spans="1:12" x14ac:dyDescent="0.25">
      <c r="A247" s="4" t="s">
        <v>13</v>
      </c>
      <c r="B247" s="32">
        <f>IF(INDEX(E_budgeted!$B$3:$G$13,MATCH($A247,E_budgeted!$A$3:$A$13,0),MATCH($A$239,E_budgeted!$B$2:$G$2,0))&gt;0,MIN('Mzimvubu-Tsitsikamma CMA'!B49,E_budgeted!B319),'Mzimvubu-Tsitsikamma CMA'!B49)</f>
        <v>0</v>
      </c>
      <c r="C247" s="32">
        <f>IF(INDEX(E_budgeted!$B$3:$G$13,MATCH($A247,E_budgeted!$A$3:$A$13,0),MATCH($A$239,E_budgeted!$B$2:$G$2,0))&gt;0,MIN('Mzimvubu-Tsitsikamma CMA'!C49,E_budgeted!C319),'Mzimvubu-Tsitsikamma CMA'!C49)</f>
        <v>0</v>
      </c>
      <c r="D247" s="32">
        <f>IF(INDEX(E_budgeted!$B$3:$G$13,MATCH($A247,E_budgeted!$A$3:$A$13,0),MATCH($A$239,E_budgeted!$B$2:$G$2,0))&gt;0,MIN('Mzimvubu-Tsitsikamma CMA'!D49,E_budgeted!D319),'Mzimvubu-Tsitsikamma CMA'!D49)</f>
        <v>0</v>
      </c>
      <c r="E247" s="32">
        <f>IF(INDEX(E_budgeted!$B$3:$G$13,MATCH($A247,E_budgeted!$A$3:$A$13,0),MATCH($A$239,E_budgeted!$B$2:$G$2,0))&gt;0,MIN('Mzimvubu-Tsitsikamma CMA'!E49,E_budgeted!E319),'Mzimvubu-Tsitsikamma CMA'!E49)</f>
        <v>0</v>
      </c>
      <c r="F247" s="32">
        <f>IF(INDEX(E_budgeted!$B$3:$G$13,MATCH($A247,E_budgeted!$A$3:$A$13,0),MATCH($A$239,E_budgeted!$B$2:$G$2,0))&gt;0,MIN('Mzimvubu-Tsitsikamma CMA'!F49,E_budgeted!F319),'Mzimvubu-Tsitsikamma CMA'!F49)</f>
        <v>0</v>
      </c>
      <c r="G247" s="32">
        <f>IF(INDEX(E_budgeted!$B$3:$G$13,MATCH($A247,E_budgeted!$A$3:$A$13,0),MATCH($A$239,E_budgeted!$B$2:$G$2,0))&gt;0,MIN('Mzimvubu-Tsitsikamma CMA'!G49,E_budgeted!G319),'Mzimvubu-Tsitsikamma CMA'!G49)</f>
        <v>0</v>
      </c>
      <c r="H247" s="32">
        <f>IF(INDEX(E_budgeted!$B$3:$G$13,MATCH($A247,E_budgeted!$A$3:$A$13,0),MATCH($A$239,E_budgeted!$B$2:$G$2,0))&gt;0,MIN('Mzimvubu-Tsitsikamma CMA'!H49,E_budgeted!H319),'Mzimvubu-Tsitsikamma CMA'!H49)</f>
        <v>0</v>
      </c>
      <c r="I247" s="32">
        <f>IF(INDEX(E_budgeted!$B$3:$G$13,MATCH($A247,E_budgeted!$A$3:$A$13,0),MATCH($A$239,E_budgeted!$B$2:$G$2,0))&gt;0,MIN('Mzimvubu-Tsitsikamma CMA'!I49,E_budgeted!I319),'Mzimvubu-Tsitsikamma CMA'!I49)</f>
        <v>0</v>
      </c>
      <c r="J247" s="32">
        <f>IF(INDEX(E_budgeted!$B$3:$G$13,MATCH($A247,E_budgeted!$A$3:$A$13,0),MATCH($A$239,E_budgeted!$B$2:$G$2,0))&gt;0,MIN('Mzimvubu-Tsitsikamma CMA'!J49,E_budgeted!J319),'Mzimvubu-Tsitsikamma CMA'!J49)</f>
        <v>0</v>
      </c>
      <c r="K247" s="32">
        <f>IF(INDEX(E_budgeted!$B$3:$G$13,MATCH($A247,E_budgeted!$A$3:$A$13,0),MATCH($A$239,E_budgeted!$B$2:$G$2,0))&gt;0,MIN('Mzimvubu-Tsitsikamma CMA'!K49,E_budgeted!K319),'Mzimvubu-Tsitsikamma CMA'!K49)</f>
        <v>0</v>
      </c>
      <c r="L247" s="5">
        <f t="shared" si="169"/>
        <v>0</v>
      </c>
    </row>
    <row r="248" spans="1:12" x14ac:dyDescent="0.25">
      <c r="A248" s="4" t="s">
        <v>14</v>
      </c>
      <c r="B248" s="32">
        <f>IF(INDEX(E_budgeted!$B$3:$G$13,MATCH($A248,E_budgeted!$A$3:$A$13,0),MATCH($A$239,E_budgeted!$B$2:$G$2,0))&gt;0,MIN('Mzimvubu-Tsitsikamma CMA'!B50,E_budgeted!B320),'Mzimvubu-Tsitsikamma CMA'!B50)</f>
        <v>0</v>
      </c>
      <c r="C248" s="32">
        <f>IF(INDEX(E_budgeted!$B$3:$G$13,MATCH($A248,E_budgeted!$A$3:$A$13,0),MATCH($A$239,E_budgeted!$B$2:$G$2,0))&gt;0,MIN('Mzimvubu-Tsitsikamma CMA'!C50,E_budgeted!C320),'Mzimvubu-Tsitsikamma CMA'!C50)</f>
        <v>0</v>
      </c>
      <c r="D248" s="32">
        <f>IF(INDEX(E_budgeted!$B$3:$G$13,MATCH($A248,E_budgeted!$A$3:$A$13,0),MATCH($A$239,E_budgeted!$B$2:$G$2,0))&gt;0,MIN('Mzimvubu-Tsitsikamma CMA'!D50,E_budgeted!D320),'Mzimvubu-Tsitsikamma CMA'!D50)</f>
        <v>0</v>
      </c>
      <c r="E248" s="32">
        <f>IF(INDEX(E_budgeted!$B$3:$G$13,MATCH($A248,E_budgeted!$A$3:$A$13,0),MATCH($A$239,E_budgeted!$B$2:$G$2,0))&gt;0,MIN('Mzimvubu-Tsitsikamma CMA'!E50,E_budgeted!E320),'Mzimvubu-Tsitsikamma CMA'!E50)</f>
        <v>0</v>
      </c>
      <c r="F248" s="32">
        <f>IF(INDEX(E_budgeted!$B$3:$G$13,MATCH($A248,E_budgeted!$A$3:$A$13,0),MATCH($A$239,E_budgeted!$B$2:$G$2,0))&gt;0,MIN('Mzimvubu-Tsitsikamma CMA'!F50,E_budgeted!F320),'Mzimvubu-Tsitsikamma CMA'!F50)</f>
        <v>0</v>
      </c>
      <c r="G248" s="32">
        <f>IF(INDEX(E_budgeted!$B$3:$G$13,MATCH($A248,E_budgeted!$A$3:$A$13,0),MATCH($A$239,E_budgeted!$B$2:$G$2,0))&gt;0,MIN('Mzimvubu-Tsitsikamma CMA'!G50,E_budgeted!G320),'Mzimvubu-Tsitsikamma CMA'!G50)</f>
        <v>0</v>
      </c>
      <c r="H248" s="32">
        <f>IF(INDEX(E_budgeted!$B$3:$G$13,MATCH($A248,E_budgeted!$A$3:$A$13,0),MATCH($A$239,E_budgeted!$B$2:$G$2,0))&gt;0,MIN('Mzimvubu-Tsitsikamma CMA'!H50,E_budgeted!H320),'Mzimvubu-Tsitsikamma CMA'!H50)</f>
        <v>0</v>
      </c>
      <c r="I248" s="32">
        <f>IF(INDEX(E_budgeted!$B$3:$G$13,MATCH($A248,E_budgeted!$A$3:$A$13,0),MATCH($A$239,E_budgeted!$B$2:$G$2,0))&gt;0,MIN('Mzimvubu-Tsitsikamma CMA'!I50,E_budgeted!I320),'Mzimvubu-Tsitsikamma CMA'!I50)</f>
        <v>0</v>
      </c>
      <c r="J248" s="32">
        <f>IF(INDEX(E_budgeted!$B$3:$G$13,MATCH($A248,E_budgeted!$A$3:$A$13,0),MATCH($A$239,E_budgeted!$B$2:$G$2,0))&gt;0,MIN('Mzimvubu-Tsitsikamma CMA'!J50,E_budgeted!J320),'Mzimvubu-Tsitsikamma CMA'!J50)</f>
        <v>0</v>
      </c>
      <c r="K248" s="32">
        <f>IF(INDEX(E_budgeted!$B$3:$G$13,MATCH($A248,E_budgeted!$A$3:$A$13,0),MATCH($A$239,E_budgeted!$B$2:$G$2,0))&gt;0,MIN('Mzimvubu-Tsitsikamma CMA'!K50,E_budgeted!K320),'Mzimvubu-Tsitsikamma CMA'!K50)</f>
        <v>0</v>
      </c>
      <c r="L248" s="5">
        <f t="shared" si="169"/>
        <v>0</v>
      </c>
    </row>
    <row r="249" spans="1:12" x14ac:dyDescent="0.25">
      <c r="A249" s="4" t="s">
        <v>125</v>
      </c>
      <c r="B249" s="32">
        <f>IF(INDEX(E_budgeted!$B$3:$G$13,MATCH($A249,E_budgeted!$A$3:$A$13,0),MATCH($A$239,E_budgeted!$B$2:$G$2,0))&gt;0,MIN('Mzimvubu-Tsitsikamma CMA'!B51,E_budgeted!B321),'Mzimvubu-Tsitsikamma CMA'!B51)</f>
        <v>639627.97399932076</v>
      </c>
      <c r="C249" s="32">
        <f>IF(INDEX(E_budgeted!$B$3:$G$13,MATCH($A249,E_budgeted!$A$3:$A$13,0),MATCH($A$239,E_budgeted!$B$2:$G$2,0))&gt;0,MIN('Mzimvubu-Tsitsikamma CMA'!C51,E_budgeted!C321),'Mzimvubu-Tsitsikamma CMA'!C51)</f>
        <v>639627.97399932076</v>
      </c>
      <c r="D249" s="32">
        <f>IF(INDEX(E_budgeted!$B$3:$G$13,MATCH($A249,E_budgeted!$A$3:$A$13,0),MATCH($A$239,E_budgeted!$B$2:$G$2,0))&gt;0,MIN('Mzimvubu-Tsitsikamma CMA'!D51,E_budgeted!D321),'Mzimvubu-Tsitsikamma CMA'!D51)</f>
        <v>639627.97399932076</v>
      </c>
      <c r="E249" s="32">
        <f>IF(INDEX(E_budgeted!$B$3:$G$13,MATCH($A249,E_budgeted!$A$3:$A$13,0),MATCH($A$239,E_budgeted!$B$2:$G$2,0))&gt;0,MIN('Mzimvubu-Tsitsikamma CMA'!E51,E_budgeted!E321),'Mzimvubu-Tsitsikamma CMA'!E51)</f>
        <v>639627.97399932076</v>
      </c>
      <c r="F249" s="32">
        <f>IF(INDEX(E_budgeted!$B$3:$G$13,MATCH($A249,E_budgeted!$A$3:$A$13,0),MATCH($A$239,E_budgeted!$B$2:$G$2,0))&gt;0,MIN('Mzimvubu-Tsitsikamma CMA'!F51,E_budgeted!F321),'Mzimvubu-Tsitsikamma CMA'!F51)</f>
        <v>639627.97399932076</v>
      </c>
      <c r="G249" s="32">
        <f>IF(INDEX(E_budgeted!$B$3:$G$13,MATCH($A249,E_budgeted!$A$3:$A$13,0),MATCH($A$239,E_budgeted!$B$2:$G$2,0))&gt;0,MIN('Mzimvubu-Tsitsikamma CMA'!G51,E_budgeted!G321),'Mzimvubu-Tsitsikamma CMA'!G51)</f>
        <v>639627.97399932076</v>
      </c>
      <c r="H249" s="32">
        <f>IF(INDEX(E_budgeted!$B$3:$G$13,MATCH($A249,E_budgeted!$A$3:$A$13,0),MATCH($A$239,E_budgeted!$B$2:$G$2,0))&gt;0,MIN('Mzimvubu-Tsitsikamma CMA'!H51,E_budgeted!H321),'Mzimvubu-Tsitsikamma CMA'!H51)</f>
        <v>639627.97399932076</v>
      </c>
      <c r="I249" s="32">
        <f>IF(INDEX(E_budgeted!$B$3:$G$13,MATCH($A249,E_budgeted!$A$3:$A$13,0),MATCH($A$239,E_budgeted!$B$2:$G$2,0))&gt;0,MIN('Mzimvubu-Tsitsikamma CMA'!I51,E_budgeted!I321),'Mzimvubu-Tsitsikamma CMA'!I51)</f>
        <v>639627.97399932076</v>
      </c>
      <c r="J249" s="32">
        <f>IF(INDEX(E_budgeted!$B$3:$G$13,MATCH($A249,E_budgeted!$A$3:$A$13,0),MATCH($A$239,E_budgeted!$B$2:$G$2,0))&gt;0,MIN('Mzimvubu-Tsitsikamma CMA'!J51,E_budgeted!J321),'Mzimvubu-Tsitsikamma CMA'!J51)</f>
        <v>639627.97399932076</v>
      </c>
      <c r="K249" s="32">
        <f>IF(INDEX(E_budgeted!$B$3:$G$13,MATCH($A249,E_budgeted!$A$3:$A$13,0),MATCH($A$239,E_budgeted!$B$2:$G$2,0))&gt;0,MIN('Mzimvubu-Tsitsikamma CMA'!K51,E_budgeted!K321),'Mzimvubu-Tsitsikamma CMA'!K51)</f>
        <v>639627.97399932076</v>
      </c>
      <c r="L249" s="5">
        <f t="shared" si="169"/>
        <v>639627.97399932065</v>
      </c>
    </row>
    <row r="250" spans="1:12" x14ac:dyDescent="0.25">
      <c r="A250" s="4" t="s">
        <v>37</v>
      </c>
      <c r="B250" s="32">
        <f>IF(INDEX(E_budgeted!$B$3:$G$13,MATCH($A250,E_budgeted!$A$3:$A$13,0),MATCH($A$239,E_budgeted!$B$2:$G$2,0))&gt;0,MIN('Mzimvubu-Tsitsikamma CMA'!B52,E_budgeted!B322),'Mzimvubu-Tsitsikamma CMA'!B52)</f>
        <v>18605099.639404751</v>
      </c>
      <c r="C250" s="32">
        <f>IF(INDEX(E_budgeted!$B$3:$G$13,MATCH($A250,E_budgeted!$A$3:$A$13,0),MATCH($A$239,E_budgeted!$B$2:$G$2,0))&gt;0,MIN('Mzimvubu-Tsitsikamma CMA'!C52,E_budgeted!C322),'Mzimvubu-Tsitsikamma CMA'!C52)</f>
        <v>18605099.639404751</v>
      </c>
      <c r="D250" s="32">
        <f>IF(INDEX(E_budgeted!$B$3:$G$13,MATCH($A250,E_budgeted!$A$3:$A$13,0),MATCH($A$239,E_budgeted!$B$2:$G$2,0))&gt;0,MIN('Mzimvubu-Tsitsikamma CMA'!D52,E_budgeted!D322),'Mzimvubu-Tsitsikamma CMA'!D52)</f>
        <v>18605099.639404751</v>
      </c>
      <c r="E250" s="32">
        <f>IF(INDEX(E_budgeted!$B$3:$G$13,MATCH($A250,E_budgeted!$A$3:$A$13,0),MATCH($A$239,E_budgeted!$B$2:$G$2,0))&gt;0,MIN('Mzimvubu-Tsitsikamma CMA'!E52,E_budgeted!E322),'Mzimvubu-Tsitsikamma CMA'!E52)</f>
        <v>18605099.639404751</v>
      </c>
      <c r="F250" s="32">
        <f>IF(INDEX(E_budgeted!$B$3:$G$13,MATCH($A250,E_budgeted!$A$3:$A$13,0),MATCH($A$239,E_budgeted!$B$2:$G$2,0))&gt;0,MIN('Mzimvubu-Tsitsikamma CMA'!F52,E_budgeted!F322),'Mzimvubu-Tsitsikamma CMA'!F52)</f>
        <v>18605099.639404751</v>
      </c>
      <c r="G250" s="32">
        <f>IF(INDEX(E_budgeted!$B$3:$G$13,MATCH($A250,E_budgeted!$A$3:$A$13,0),MATCH($A$239,E_budgeted!$B$2:$G$2,0))&gt;0,MIN('Mzimvubu-Tsitsikamma CMA'!G52,E_budgeted!G322),'Mzimvubu-Tsitsikamma CMA'!G52)</f>
        <v>18605099.639404751</v>
      </c>
      <c r="H250" s="32">
        <f>IF(INDEX(E_budgeted!$B$3:$G$13,MATCH($A250,E_budgeted!$A$3:$A$13,0),MATCH($A$239,E_budgeted!$B$2:$G$2,0))&gt;0,MIN('Mzimvubu-Tsitsikamma CMA'!H52,E_budgeted!H322),'Mzimvubu-Tsitsikamma CMA'!H52)</f>
        <v>18605099.639404751</v>
      </c>
      <c r="I250" s="32">
        <f>IF(INDEX(E_budgeted!$B$3:$G$13,MATCH($A250,E_budgeted!$A$3:$A$13,0),MATCH($A$239,E_budgeted!$B$2:$G$2,0))&gt;0,MIN('Mzimvubu-Tsitsikamma CMA'!I52,E_budgeted!I322),'Mzimvubu-Tsitsikamma CMA'!I52)</f>
        <v>18605099.639404751</v>
      </c>
      <c r="J250" s="32">
        <f>IF(INDEX(E_budgeted!$B$3:$G$13,MATCH($A250,E_budgeted!$A$3:$A$13,0),MATCH($A$239,E_budgeted!$B$2:$G$2,0))&gt;0,MIN('Mzimvubu-Tsitsikamma CMA'!J52,E_budgeted!J322),'Mzimvubu-Tsitsikamma CMA'!J52)</f>
        <v>18605099.639404751</v>
      </c>
      <c r="K250" s="32">
        <f>IF(INDEX(E_budgeted!$B$3:$G$13,MATCH($A250,E_budgeted!$A$3:$A$13,0),MATCH($A$239,E_budgeted!$B$2:$G$2,0))&gt;0,MIN('Mzimvubu-Tsitsikamma CMA'!K52,E_budgeted!K322),'Mzimvubu-Tsitsikamma CMA'!K52)</f>
        <v>18605099.639404751</v>
      </c>
      <c r="L250" s="5">
        <f t="shared" si="169"/>
        <v>18605099.639404748</v>
      </c>
    </row>
    <row r="251" spans="1:12" x14ac:dyDescent="0.25">
      <c r="A251" s="4" t="s">
        <v>38</v>
      </c>
      <c r="B251" s="32">
        <f>IF(INDEX(E_budgeted!$B$3:$G$13,MATCH($A251,E_budgeted!$A$3:$A$13,0),MATCH($A$239,E_budgeted!$B$2:$G$2,0))&gt;0,MIN('Mzimvubu-Tsitsikamma CMA'!B53,E_budgeted!B323),'Mzimvubu-Tsitsikamma CMA'!B53)</f>
        <v>1892491.0200000003</v>
      </c>
      <c r="C251" s="32">
        <f>IF(INDEX(E_budgeted!$B$3:$G$13,MATCH($A251,E_budgeted!$A$3:$A$13,0),MATCH($A$239,E_budgeted!$B$2:$G$2,0))&gt;0,MIN('Mzimvubu-Tsitsikamma CMA'!C53,E_budgeted!C323),'Mzimvubu-Tsitsikamma CMA'!C53)</f>
        <v>1892491.0200000003</v>
      </c>
      <c r="D251" s="32">
        <f>IF(INDEX(E_budgeted!$B$3:$G$13,MATCH($A251,E_budgeted!$A$3:$A$13,0),MATCH($A$239,E_budgeted!$B$2:$G$2,0))&gt;0,MIN('Mzimvubu-Tsitsikamma CMA'!D53,E_budgeted!D323),'Mzimvubu-Tsitsikamma CMA'!D53)</f>
        <v>1892491.0200000003</v>
      </c>
      <c r="E251" s="32">
        <f>IF(INDEX(E_budgeted!$B$3:$G$13,MATCH($A251,E_budgeted!$A$3:$A$13,0),MATCH($A$239,E_budgeted!$B$2:$G$2,0))&gt;0,MIN('Mzimvubu-Tsitsikamma CMA'!E53,E_budgeted!E323),'Mzimvubu-Tsitsikamma CMA'!E53)</f>
        <v>1892491.0200000003</v>
      </c>
      <c r="F251" s="32">
        <f>IF(INDEX(E_budgeted!$B$3:$G$13,MATCH($A251,E_budgeted!$A$3:$A$13,0),MATCH($A$239,E_budgeted!$B$2:$G$2,0))&gt;0,MIN('Mzimvubu-Tsitsikamma CMA'!F53,E_budgeted!F323),'Mzimvubu-Tsitsikamma CMA'!F53)</f>
        <v>1892491.0200000003</v>
      </c>
      <c r="G251" s="32">
        <f>IF(INDEX(E_budgeted!$B$3:$G$13,MATCH($A251,E_budgeted!$A$3:$A$13,0),MATCH($A$239,E_budgeted!$B$2:$G$2,0))&gt;0,MIN('Mzimvubu-Tsitsikamma CMA'!G53,E_budgeted!G323),'Mzimvubu-Tsitsikamma CMA'!G53)</f>
        <v>1892491.0200000003</v>
      </c>
      <c r="H251" s="32">
        <f>IF(INDEX(E_budgeted!$B$3:$G$13,MATCH($A251,E_budgeted!$A$3:$A$13,0),MATCH($A$239,E_budgeted!$B$2:$G$2,0))&gt;0,MIN('Mzimvubu-Tsitsikamma CMA'!H53,E_budgeted!H323),'Mzimvubu-Tsitsikamma CMA'!H53)</f>
        <v>1892491.0200000003</v>
      </c>
      <c r="I251" s="32">
        <f>IF(INDEX(E_budgeted!$B$3:$G$13,MATCH($A251,E_budgeted!$A$3:$A$13,0),MATCH($A$239,E_budgeted!$B$2:$G$2,0))&gt;0,MIN('Mzimvubu-Tsitsikamma CMA'!I53,E_budgeted!I323),'Mzimvubu-Tsitsikamma CMA'!I53)</f>
        <v>1892491.0200000003</v>
      </c>
      <c r="J251" s="32">
        <f>IF(INDEX(E_budgeted!$B$3:$G$13,MATCH($A251,E_budgeted!$A$3:$A$13,0),MATCH($A$239,E_budgeted!$B$2:$G$2,0))&gt;0,MIN('Mzimvubu-Tsitsikamma CMA'!J53,E_budgeted!J323),'Mzimvubu-Tsitsikamma CMA'!J53)</f>
        <v>1892491.0200000003</v>
      </c>
      <c r="K251" s="32">
        <f>IF(INDEX(E_budgeted!$B$3:$G$13,MATCH($A251,E_budgeted!$A$3:$A$13,0),MATCH($A$239,E_budgeted!$B$2:$G$2,0))&gt;0,MIN('Mzimvubu-Tsitsikamma CMA'!K53,E_budgeted!K323),'Mzimvubu-Tsitsikamma CMA'!K53)</f>
        <v>1892491.0200000003</v>
      </c>
      <c r="L251" s="5">
        <f t="shared" si="169"/>
        <v>1892491.02</v>
      </c>
    </row>
    <row r="252" spans="1:12" x14ac:dyDescent="0.25">
      <c r="A252" s="4" t="s">
        <v>15</v>
      </c>
      <c r="B252" s="13">
        <f>IF(INDEX(E_budgeted!$B$3:$G$13,MATCH($A252,E_budgeted!$A$3:$A$13,0),MATCH($A$239,E_budgeted!$B$2:$G$2,0))&gt;0,MIN('Mzimvubu-Tsitsikamma CMA'!B54,E_budgeted!B324),'Mzimvubu-Tsitsikamma CMA'!B54)</f>
        <v>21578203.131393798</v>
      </c>
      <c r="C252" s="13">
        <f>IF(INDEX(E_budgeted!$B$3:$G$13,MATCH($A252,E_budgeted!$A$3:$A$13,0),MATCH($A$239,E_budgeted!$B$2:$G$2,0))&gt;0,MIN('Mzimvubu-Tsitsikamma CMA'!C54,E_budgeted!C324),'Mzimvubu-Tsitsikamma CMA'!C54)</f>
        <v>21578203.131393798</v>
      </c>
      <c r="D252" s="13">
        <f>IF(INDEX(E_budgeted!$B$3:$G$13,MATCH($A252,E_budgeted!$A$3:$A$13,0),MATCH($A$239,E_budgeted!$B$2:$G$2,0))&gt;0,MIN('Mzimvubu-Tsitsikamma CMA'!D54,E_budgeted!D324),'Mzimvubu-Tsitsikamma CMA'!D54)</f>
        <v>21578203.131393798</v>
      </c>
      <c r="E252" s="13">
        <f>IF(INDEX(E_budgeted!$B$3:$G$13,MATCH($A252,E_budgeted!$A$3:$A$13,0),MATCH($A$239,E_budgeted!$B$2:$G$2,0))&gt;0,MIN('Mzimvubu-Tsitsikamma CMA'!E54,E_budgeted!E324),'Mzimvubu-Tsitsikamma CMA'!E54)</f>
        <v>21578203.131393798</v>
      </c>
      <c r="F252" s="13">
        <f>IF(INDEX(E_budgeted!$B$3:$G$13,MATCH($A252,E_budgeted!$A$3:$A$13,0),MATCH($A$239,E_budgeted!$B$2:$G$2,0))&gt;0,MIN('Mzimvubu-Tsitsikamma CMA'!F54,E_budgeted!F324),'Mzimvubu-Tsitsikamma CMA'!F54)</f>
        <v>21578203.131393798</v>
      </c>
      <c r="G252" s="13">
        <f>IF(INDEX(E_budgeted!$B$3:$G$13,MATCH($A252,E_budgeted!$A$3:$A$13,0),MATCH($A$239,E_budgeted!$B$2:$G$2,0))&gt;0,MIN('Mzimvubu-Tsitsikamma CMA'!G54,E_budgeted!G324),'Mzimvubu-Tsitsikamma CMA'!G54)</f>
        <v>21578203.131393798</v>
      </c>
      <c r="H252" s="13">
        <f>IF(INDEX(E_budgeted!$B$3:$G$13,MATCH($A252,E_budgeted!$A$3:$A$13,0),MATCH($A$239,E_budgeted!$B$2:$G$2,0))&gt;0,MIN('Mzimvubu-Tsitsikamma CMA'!H54,E_budgeted!H324),'Mzimvubu-Tsitsikamma CMA'!H54)</f>
        <v>21578203.131393798</v>
      </c>
      <c r="I252" s="13">
        <f>IF(INDEX(E_budgeted!$B$3:$G$13,MATCH($A252,E_budgeted!$A$3:$A$13,0),MATCH($A$239,E_budgeted!$B$2:$G$2,0))&gt;0,MIN('Mzimvubu-Tsitsikamma CMA'!I54,E_budgeted!I324),'Mzimvubu-Tsitsikamma CMA'!I54)</f>
        <v>21578203.131393798</v>
      </c>
      <c r="J252" s="13">
        <f>IF(INDEX(E_budgeted!$B$3:$G$13,MATCH($A252,E_budgeted!$A$3:$A$13,0),MATCH($A$239,E_budgeted!$B$2:$G$2,0))&gt;0,MIN('Mzimvubu-Tsitsikamma CMA'!J54,E_budgeted!J324),'Mzimvubu-Tsitsikamma CMA'!J54)</f>
        <v>21578203.131393798</v>
      </c>
      <c r="K252" s="13">
        <f>IF(INDEX(E_budgeted!$B$3:$G$13,MATCH($A252,E_budgeted!$A$3:$A$13,0),MATCH($A$239,E_budgeted!$B$2:$G$2,0))&gt;0,MIN('Mzimvubu-Tsitsikamma CMA'!K54,E_budgeted!K324),'Mzimvubu-Tsitsikamma CMA'!K54)</f>
        <v>21578203.131393798</v>
      </c>
      <c r="L252" s="5">
        <f t="shared" si="169"/>
        <v>21578203.131393794</v>
      </c>
    </row>
    <row r="253" spans="1:12" x14ac:dyDescent="0.25">
      <c r="B253" s="5">
        <f t="shared" ref="B253:K253" si="170">SUM(B242:B252)</f>
        <v>67849211.600765631</v>
      </c>
      <c r="C253" s="5">
        <f t="shared" si="170"/>
        <v>67849211.600765631</v>
      </c>
      <c r="D253" s="5">
        <f t="shared" si="170"/>
        <v>67849211.600765631</v>
      </c>
      <c r="E253" s="5">
        <f t="shared" si="170"/>
        <v>67849211.600765631</v>
      </c>
      <c r="F253" s="5">
        <f t="shared" si="170"/>
        <v>67849211.600765631</v>
      </c>
      <c r="G253" s="5">
        <f t="shared" si="170"/>
        <v>67849211.600765631</v>
      </c>
      <c r="H253" s="5">
        <f t="shared" si="170"/>
        <v>67849211.600765631</v>
      </c>
      <c r="I253" s="5">
        <f t="shared" si="170"/>
        <v>67849211.600765631</v>
      </c>
      <c r="J253" s="5">
        <f t="shared" si="170"/>
        <v>67849211.600765631</v>
      </c>
      <c r="K253" s="5">
        <f t="shared" si="170"/>
        <v>67849211.600765631</v>
      </c>
      <c r="L253" s="5"/>
    </row>
    <row r="255" spans="1:12" ht="30" x14ac:dyDescent="0.25">
      <c r="A255" s="15" t="s">
        <v>56</v>
      </c>
      <c r="B255" s="12" t="str">
        <f>'Summary dashboard'!C4</f>
        <v>2023</v>
      </c>
      <c r="C255" s="12">
        <f t="shared" ref="C255" si="171">B255+1</f>
        <v>2024</v>
      </c>
      <c r="D255" s="12">
        <f t="shared" ref="D255" si="172">C255+1</f>
        <v>2025</v>
      </c>
      <c r="E255" s="12">
        <f t="shared" ref="E255" si="173">D255+1</f>
        <v>2026</v>
      </c>
      <c r="F255" s="12">
        <f t="shared" ref="F255" si="174">E255+1</f>
        <v>2027</v>
      </c>
      <c r="G255" s="12">
        <f t="shared" ref="G255" si="175">F255+1</f>
        <v>2028</v>
      </c>
      <c r="H255" s="12">
        <f t="shared" ref="H255" si="176">G255+1</f>
        <v>2029</v>
      </c>
      <c r="I255" s="12">
        <f t="shared" ref="I255" si="177">H255+1</f>
        <v>2030</v>
      </c>
      <c r="J255" s="12">
        <f t="shared" ref="J255" si="178">I255+1</f>
        <v>2031</v>
      </c>
      <c r="K255" s="12">
        <f t="shared" ref="K255" si="179">J255+1</f>
        <v>2032</v>
      </c>
      <c r="L255" s="1" t="s">
        <v>28</v>
      </c>
    </row>
    <row r="256" spans="1:12" x14ac:dyDescent="0.25">
      <c r="A256" s="4" t="s">
        <v>35</v>
      </c>
      <c r="B256" s="32">
        <f>IF(INDEX(E_budgeted!$B$3:$G$13,MATCH($A256,E_budgeted!$A$3:$A$13,0),MATCH($A$239,E_budgeted!$B$2:$G$2,0))&gt;0,MIN('Mzimvubu-Tsitsikamma CMA'!B58,E_budgeted!B328),'Mzimvubu-Tsitsikamma CMA'!B58)</f>
        <v>4724210.5607387871</v>
      </c>
      <c r="C256" s="32">
        <f>IF(INDEX(E_budgeted!$B$3:$G$13,MATCH($A256,E_budgeted!$A$3:$A$13,0),MATCH($A$239,E_budgeted!$B$2:$G$2,0))&gt;0,MIN('Mzimvubu-Tsitsikamma CMA'!C58,E_budgeted!C328),'Mzimvubu-Tsitsikamma CMA'!C58)</f>
        <v>4724210.5607387871</v>
      </c>
      <c r="D256" s="32">
        <f>IF(INDEX(E_budgeted!$B$3:$G$13,MATCH($A256,E_budgeted!$A$3:$A$13,0),MATCH($A$239,E_budgeted!$B$2:$G$2,0))&gt;0,MIN('Mzimvubu-Tsitsikamma CMA'!D58,E_budgeted!D328),'Mzimvubu-Tsitsikamma CMA'!D58)</f>
        <v>4724210.5607387871</v>
      </c>
      <c r="E256" s="32">
        <f>IF(INDEX(E_budgeted!$B$3:$G$13,MATCH($A256,E_budgeted!$A$3:$A$13,0),MATCH($A$239,E_budgeted!$B$2:$G$2,0))&gt;0,MIN('Mzimvubu-Tsitsikamma CMA'!E58,E_budgeted!E328),'Mzimvubu-Tsitsikamma CMA'!E58)</f>
        <v>4724210.5607387871</v>
      </c>
      <c r="F256" s="32">
        <f>IF(INDEX(E_budgeted!$B$3:$G$13,MATCH($A256,E_budgeted!$A$3:$A$13,0),MATCH($A$239,E_budgeted!$B$2:$G$2,0))&gt;0,MIN('Mzimvubu-Tsitsikamma CMA'!F58,E_budgeted!F328),'Mzimvubu-Tsitsikamma CMA'!F58)</f>
        <v>4724210.5607387871</v>
      </c>
      <c r="G256" s="32">
        <f>IF(INDEX(E_budgeted!$B$3:$G$13,MATCH($A256,E_budgeted!$A$3:$A$13,0),MATCH($A$239,E_budgeted!$B$2:$G$2,0))&gt;0,MIN('Mzimvubu-Tsitsikamma CMA'!G58,E_budgeted!G328),'Mzimvubu-Tsitsikamma CMA'!G58)</f>
        <v>4724210.5607387871</v>
      </c>
      <c r="H256" s="32">
        <f>IF(INDEX(E_budgeted!$B$3:$G$13,MATCH($A256,E_budgeted!$A$3:$A$13,0),MATCH($A$239,E_budgeted!$B$2:$G$2,0))&gt;0,MIN('Mzimvubu-Tsitsikamma CMA'!H58,E_budgeted!H328),'Mzimvubu-Tsitsikamma CMA'!H58)</f>
        <v>4724210.5607387871</v>
      </c>
      <c r="I256" s="32">
        <f>IF(INDEX(E_budgeted!$B$3:$G$13,MATCH($A256,E_budgeted!$A$3:$A$13,0),MATCH($A$239,E_budgeted!$B$2:$G$2,0))&gt;0,MIN('Mzimvubu-Tsitsikamma CMA'!I58,E_budgeted!I328),'Mzimvubu-Tsitsikamma CMA'!I58)</f>
        <v>4724210.5607387871</v>
      </c>
      <c r="J256" s="32">
        <f>IF(INDEX(E_budgeted!$B$3:$G$13,MATCH($A256,E_budgeted!$A$3:$A$13,0),MATCH($A$239,E_budgeted!$B$2:$G$2,0))&gt;0,MIN('Mzimvubu-Tsitsikamma CMA'!J58,E_budgeted!J328),'Mzimvubu-Tsitsikamma CMA'!J58)</f>
        <v>4724210.5607387871</v>
      </c>
      <c r="K256" s="32">
        <f>IF(INDEX(E_budgeted!$B$3:$G$13,MATCH($A256,E_budgeted!$A$3:$A$13,0),MATCH($A$239,E_budgeted!$B$2:$G$2,0))&gt;0,MIN('Mzimvubu-Tsitsikamma CMA'!K58,E_budgeted!K328),'Mzimvubu-Tsitsikamma CMA'!K58)</f>
        <v>4724210.5607387871</v>
      </c>
      <c r="L256" s="5">
        <f t="shared" ref="L256:L266" si="180">AVERAGE(B256:K256)</f>
        <v>4724210.5607387871</v>
      </c>
    </row>
    <row r="257" spans="1:12" x14ac:dyDescent="0.25">
      <c r="A257" s="4" t="s">
        <v>36</v>
      </c>
      <c r="B257" s="32">
        <f>IF(INDEX(E_budgeted!$B$3:$G$13,MATCH($A257,E_budgeted!$A$3:$A$13,0),MATCH($A$239,E_budgeted!$B$2:$G$2,0))&gt;0,MIN('Mzimvubu-Tsitsikamma CMA'!B59,E_budgeted!B329),'Mzimvubu-Tsitsikamma CMA'!B59)</f>
        <v>1008987.2286193701</v>
      </c>
      <c r="C257" s="32">
        <f>IF(INDEX(E_budgeted!$B$3:$G$13,MATCH($A257,E_budgeted!$A$3:$A$13,0),MATCH($A$239,E_budgeted!$B$2:$G$2,0))&gt;0,MIN('Mzimvubu-Tsitsikamma CMA'!C59,E_budgeted!C329),'Mzimvubu-Tsitsikamma CMA'!C59)</f>
        <v>1008987.2286193701</v>
      </c>
      <c r="D257" s="32">
        <f>IF(INDEX(E_budgeted!$B$3:$G$13,MATCH($A257,E_budgeted!$A$3:$A$13,0),MATCH($A$239,E_budgeted!$B$2:$G$2,0))&gt;0,MIN('Mzimvubu-Tsitsikamma CMA'!D59,E_budgeted!D329),'Mzimvubu-Tsitsikamma CMA'!D59)</f>
        <v>1008987.2286193701</v>
      </c>
      <c r="E257" s="32">
        <f>IF(INDEX(E_budgeted!$B$3:$G$13,MATCH($A257,E_budgeted!$A$3:$A$13,0),MATCH($A$239,E_budgeted!$B$2:$G$2,0))&gt;0,MIN('Mzimvubu-Tsitsikamma CMA'!E59,E_budgeted!E329),'Mzimvubu-Tsitsikamma CMA'!E59)</f>
        <v>1008987.2286193701</v>
      </c>
      <c r="F257" s="32">
        <f>IF(INDEX(E_budgeted!$B$3:$G$13,MATCH($A257,E_budgeted!$A$3:$A$13,0),MATCH($A$239,E_budgeted!$B$2:$G$2,0))&gt;0,MIN('Mzimvubu-Tsitsikamma CMA'!F59,E_budgeted!F329),'Mzimvubu-Tsitsikamma CMA'!F59)</f>
        <v>1008987.2286193701</v>
      </c>
      <c r="G257" s="32">
        <f>IF(INDEX(E_budgeted!$B$3:$G$13,MATCH($A257,E_budgeted!$A$3:$A$13,0),MATCH($A$239,E_budgeted!$B$2:$G$2,0))&gt;0,MIN('Mzimvubu-Tsitsikamma CMA'!G59,E_budgeted!G329),'Mzimvubu-Tsitsikamma CMA'!G59)</f>
        <v>1008987.2286193701</v>
      </c>
      <c r="H257" s="32">
        <f>IF(INDEX(E_budgeted!$B$3:$G$13,MATCH($A257,E_budgeted!$A$3:$A$13,0),MATCH($A$239,E_budgeted!$B$2:$G$2,0))&gt;0,MIN('Mzimvubu-Tsitsikamma CMA'!H59,E_budgeted!H329),'Mzimvubu-Tsitsikamma CMA'!H59)</f>
        <v>1008987.2286193701</v>
      </c>
      <c r="I257" s="32">
        <f>IF(INDEX(E_budgeted!$B$3:$G$13,MATCH($A257,E_budgeted!$A$3:$A$13,0),MATCH($A$239,E_budgeted!$B$2:$G$2,0))&gt;0,MIN('Mzimvubu-Tsitsikamma CMA'!I59,E_budgeted!I329),'Mzimvubu-Tsitsikamma CMA'!I59)</f>
        <v>1008987.2286193701</v>
      </c>
      <c r="J257" s="32">
        <f>IF(INDEX(E_budgeted!$B$3:$G$13,MATCH($A257,E_budgeted!$A$3:$A$13,0),MATCH($A$239,E_budgeted!$B$2:$G$2,0))&gt;0,MIN('Mzimvubu-Tsitsikamma CMA'!J59,E_budgeted!J329),'Mzimvubu-Tsitsikamma CMA'!J59)</f>
        <v>1008987.2286193701</v>
      </c>
      <c r="K257" s="32">
        <f>IF(INDEX(E_budgeted!$B$3:$G$13,MATCH($A257,E_budgeted!$A$3:$A$13,0),MATCH($A$239,E_budgeted!$B$2:$G$2,0))&gt;0,MIN('Mzimvubu-Tsitsikamma CMA'!K59,E_budgeted!K329),'Mzimvubu-Tsitsikamma CMA'!K59)</f>
        <v>1008987.2286193701</v>
      </c>
      <c r="L257" s="5">
        <f t="shared" si="180"/>
        <v>1008987.2286193704</v>
      </c>
    </row>
    <row r="258" spans="1:12" x14ac:dyDescent="0.25">
      <c r="A258" s="4" t="s">
        <v>11</v>
      </c>
      <c r="B258" s="32">
        <f>IF(INDEX(E_budgeted!$B$3:$G$13,MATCH($A258,E_budgeted!$A$3:$A$13,0),MATCH($A$239,E_budgeted!$B$2:$G$2,0))&gt;0,MIN('Mzimvubu-Tsitsikamma CMA'!B60,E_budgeted!B330),'Mzimvubu-Tsitsikamma CMA'!B60)</f>
        <v>0</v>
      </c>
      <c r="C258" s="32">
        <f>IF(INDEX(E_budgeted!$B$3:$G$13,MATCH($A258,E_budgeted!$A$3:$A$13,0),MATCH($A$239,E_budgeted!$B$2:$G$2,0))&gt;0,MIN('Mzimvubu-Tsitsikamma CMA'!C60,E_budgeted!C330),'Mzimvubu-Tsitsikamma CMA'!C60)</f>
        <v>0</v>
      </c>
      <c r="D258" s="32">
        <f>IF(INDEX(E_budgeted!$B$3:$G$13,MATCH($A258,E_budgeted!$A$3:$A$13,0),MATCH($A$239,E_budgeted!$B$2:$G$2,0))&gt;0,MIN('Mzimvubu-Tsitsikamma CMA'!D60,E_budgeted!D330),'Mzimvubu-Tsitsikamma CMA'!D60)</f>
        <v>0</v>
      </c>
      <c r="E258" s="32">
        <f>IF(INDEX(E_budgeted!$B$3:$G$13,MATCH($A258,E_budgeted!$A$3:$A$13,0),MATCH($A$239,E_budgeted!$B$2:$G$2,0))&gt;0,MIN('Mzimvubu-Tsitsikamma CMA'!E60,E_budgeted!E330),'Mzimvubu-Tsitsikamma CMA'!E60)</f>
        <v>0</v>
      </c>
      <c r="F258" s="32">
        <f>IF(INDEX(E_budgeted!$B$3:$G$13,MATCH($A258,E_budgeted!$A$3:$A$13,0),MATCH($A$239,E_budgeted!$B$2:$G$2,0))&gt;0,MIN('Mzimvubu-Tsitsikamma CMA'!F60,E_budgeted!F330),'Mzimvubu-Tsitsikamma CMA'!F60)</f>
        <v>0</v>
      </c>
      <c r="G258" s="32">
        <f>IF(INDEX(E_budgeted!$B$3:$G$13,MATCH($A258,E_budgeted!$A$3:$A$13,0),MATCH($A$239,E_budgeted!$B$2:$G$2,0))&gt;0,MIN('Mzimvubu-Tsitsikamma CMA'!G60,E_budgeted!G330),'Mzimvubu-Tsitsikamma CMA'!G60)</f>
        <v>0</v>
      </c>
      <c r="H258" s="32">
        <f>IF(INDEX(E_budgeted!$B$3:$G$13,MATCH($A258,E_budgeted!$A$3:$A$13,0),MATCH($A$239,E_budgeted!$B$2:$G$2,0))&gt;0,MIN('Mzimvubu-Tsitsikamma CMA'!H60,E_budgeted!H330),'Mzimvubu-Tsitsikamma CMA'!H60)</f>
        <v>0</v>
      </c>
      <c r="I258" s="32">
        <f>IF(INDEX(E_budgeted!$B$3:$G$13,MATCH($A258,E_budgeted!$A$3:$A$13,0),MATCH($A$239,E_budgeted!$B$2:$G$2,0))&gt;0,MIN('Mzimvubu-Tsitsikamma CMA'!I60,E_budgeted!I330),'Mzimvubu-Tsitsikamma CMA'!I60)</f>
        <v>0</v>
      </c>
      <c r="J258" s="32">
        <f>IF(INDEX(E_budgeted!$B$3:$G$13,MATCH($A258,E_budgeted!$A$3:$A$13,0),MATCH($A$239,E_budgeted!$B$2:$G$2,0))&gt;0,MIN('Mzimvubu-Tsitsikamma CMA'!J60,E_budgeted!J330),'Mzimvubu-Tsitsikamma CMA'!J60)</f>
        <v>0</v>
      </c>
      <c r="K258" s="32">
        <f>IF(INDEX(E_budgeted!$B$3:$G$13,MATCH($A258,E_budgeted!$A$3:$A$13,0),MATCH($A$239,E_budgeted!$B$2:$G$2,0))&gt;0,MIN('Mzimvubu-Tsitsikamma CMA'!K60,E_budgeted!K330),'Mzimvubu-Tsitsikamma CMA'!K60)</f>
        <v>0</v>
      </c>
      <c r="L258" s="5">
        <f t="shared" si="180"/>
        <v>0</v>
      </c>
    </row>
    <row r="259" spans="1:12" x14ac:dyDescent="0.25">
      <c r="A259" s="4" t="s">
        <v>124</v>
      </c>
      <c r="B259" s="32">
        <f>IF(INDEX(E_budgeted!$B$3:$G$13,MATCH($A259,E_budgeted!$A$3:$A$13,0),MATCH($A$239,E_budgeted!$B$2:$G$2,0))&gt;0,MIN('Mzimvubu-Tsitsikamma CMA'!B61,E_budgeted!B331),'Mzimvubu-Tsitsikamma CMA'!B61)</f>
        <v>399999.99999999994</v>
      </c>
      <c r="C259" s="32">
        <f>IF(INDEX(E_budgeted!$B$3:$G$13,MATCH($A259,E_budgeted!$A$3:$A$13,0),MATCH($A$239,E_budgeted!$B$2:$G$2,0))&gt;0,MIN('Mzimvubu-Tsitsikamma CMA'!C61,E_budgeted!C331),'Mzimvubu-Tsitsikamma CMA'!C61)</f>
        <v>399999.99999999994</v>
      </c>
      <c r="D259" s="32">
        <f>IF(INDEX(E_budgeted!$B$3:$G$13,MATCH($A259,E_budgeted!$A$3:$A$13,0),MATCH($A$239,E_budgeted!$B$2:$G$2,0))&gt;0,MIN('Mzimvubu-Tsitsikamma CMA'!D61,E_budgeted!D331),'Mzimvubu-Tsitsikamma CMA'!D61)</f>
        <v>399999.99999999994</v>
      </c>
      <c r="E259" s="32">
        <f>IF(INDEX(E_budgeted!$B$3:$G$13,MATCH($A259,E_budgeted!$A$3:$A$13,0),MATCH($A$239,E_budgeted!$B$2:$G$2,0))&gt;0,MIN('Mzimvubu-Tsitsikamma CMA'!E61,E_budgeted!E331),'Mzimvubu-Tsitsikamma CMA'!E61)</f>
        <v>399999.99999999994</v>
      </c>
      <c r="F259" s="32">
        <f>IF(INDEX(E_budgeted!$B$3:$G$13,MATCH($A259,E_budgeted!$A$3:$A$13,0),MATCH($A$239,E_budgeted!$B$2:$G$2,0))&gt;0,MIN('Mzimvubu-Tsitsikamma CMA'!F61,E_budgeted!F331),'Mzimvubu-Tsitsikamma CMA'!F61)</f>
        <v>399999.99999999994</v>
      </c>
      <c r="G259" s="32">
        <f>IF(INDEX(E_budgeted!$B$3:$G$13,MATCH($A259,E_budgeted!$A$3:$A$13,0),MATCH($A$239,E_budgeted!$B$2:$G$2,0))&gt;0,MIN('Mzimvubu-Tsitsikamma CMA'!G61,E_budgeted!G331),'Mzimvubu-Tsitsikamma CMA'!G61)</f>
        <v>399999.99999999994</v>
      </c>
      <c r="H259" s="32">
        <f>IF(INDEX(E_budgeted!$B$3:$G$13,MATCH($A259,E_budgeted!$A$3:$A$13,0),MATCH($A$239,E_budgeted!$B$2:$G$2,0))&gt;0,MIN('Mzimvubu-Tsitsikamma CMA'!H61,E_budgeted!H331),'Mzimvubu-Tsitsikamma CMA'!H61)</f>
        <v>399999.99999999994</v>
      </c>
      <c r="I259" s="32">
        <f>IF(INDEX(E_budgeted!$B$3:$G$13,MATCH($A259,E_budgeted!$A$3:$A$13,0),MATCH($A$239,E_budgeted!$B$2:$G$2,0))&gt;0,MIN('Mzimvubu-Tsitsikamma CMA'!I61,E_budgeted!I331),'Mzimvubu-Tsitsikamma CMA'!I61)</f>
        <v>399999.99999999994</v>
      </c>
      <c r="J259" s="32">
        <f>IF(INDEX(E_budgeted!$B$3:$G$13,MATCH($A259,E_budgeted!$A$3:$A$13,0),MATCH($A$239,E_budgeted!$B$2:$G$2,0))&gt;0,MIN('Mzimvubu-Tsitsikamma CMA'!J61,E_budgeted!J331),'Mzimvubu-Tsitsikamma CMA'!J61)</f>
        <v>399999.99999999994</v>
      </c>
      <c r="K259" s="32">
        <f>IF(INDEX(E_budgeted!$B$3:$G$13,MATCH($A259,E_budgeted!$A$3:$A$13,0),MATCH($A$239,E_budgeted!$B$2:$G$2,0))&gt;0,MIN('Mzimvubu-Tsitsikamma CMA'!K61,E_budgeted!K331),'Mzimvubu-Tsitsikamma CMA'!K61)</f>
        <v>399999.99999999994</v>
      </c>
      <c r="L259" s="5">
        <f t="shared" si="180"/>
        <v>399999.99999999994</v>
      </c>
    </row>
    <row r="260" spans="1:12" x14ac:dyDescent="0.25">
      <c r="A260" s="4" t="s">
        <v>12</v>
      </c>
      <c r="B260" s="32">
        <f>IF(INDEX(E_budgeted!$B$3:$G$13,MATCH($A260,E_budgeted!$A$3:$A$13,0),MATCH($A$239,E_budgeted!$B$2:$G$2,0))&gt;0,MIN('Mzimvubu-Tsitsikamma CMA'!B62,E_budgeted!B332),'Mzimvubu-Tsitsikamma CMA'!B62)</f>
        <v>1513516.0683333334</v>
      </c>
      <c r="C260" s="32">
        <f>IF(INDEX(E_budgeted!$B$3:$G$13,MATCH($A260,E_budgeted!$A$3:$A$13,0),MATCH($A$239,E_budgeted!$B$2:$G$2,0))&gt;0,MIN('Mzimvubu-Tsitsikamma CMA'!C62,E_budgeted!C332),'Mzimvubu-Tsitsikamma CMA'!C62)</f>
        <v>1513516.0683333334</v>
      </c>
      <c r="D260" s="32">
        <f>IF(INDEX(E_budgeted!$B$3:$G$13,MATCH($A260,E_budgeted!$A$3:$A$13,0),MATCH($A$239,E_budgeted!$B$2:$G$2,0))&gt;0,MIN('Mzimvubu-Tsitsikamma CMA'!D62,E_budgeted!D332),'Mzimvubu-Tsitsikamma CMA'!D62)</f>
        <v>1513516.0683333334</v>
      </c>
      <c r="E260" s="32">
        <f>IF(INDEX(E_budgeted!$B$3:$G$13,MATCH($A260,E_budgeted!$A$3:$A$13,0),MATCH($A$239,E_budgeted!$B$2:$G$2,0))&gt;0,MIN('Mzimvubu-Tsitsikamma CMA'!E62,E_budgeted!E332),'Mzimvubu-Tsitsikamma CMA'!E62)</f>
        <v>1513516.0683333334</v>
      </c>
      <c r="F260" s="32">
        <f>IF(INDEX(E_budgeted!$B$3:$G$13,MATCH($A260,E_budgeted!$A$3:$A$13,0),MATCH($A$239,E_budgeted!$B$2:$G$2,0))&gt;0,MIN('Mzimvubu-Tsitsikamma CMA'!F62,E_budgeted!F332),'Mzimvubu-Tsitsikamma CMA'!F62)</f>
        <v>1513516.0683333334</v>
      </c>
      <c r="G260" s="32">
        <f>IF(INDEX(E_budgeted!$B$3:$G$13,MATCH($A260,E_budgeted!$A$3:$A$13,0),MATCH($A$239,E_budgeted!$B$2:$G$2,0))&gt;0,MIN('Mzimvubu-Tsitsikamma CMA'!G62,E_budgeted!G332),'Mzimvubu-Tsitsikamma CMA'!G62)</f>
        <v>1513516.0683333334</v>
      </c>
      <c r="H260" s="32">
        <f>IF(INDEX(E_budgeted!$B$3:$G$13,MATCH($A260,E_budgeted!$A$3:$A$13,0),MATCH($A$239,E_budgeted!$B$2:$G$2,0))&gt;0,MIN('Mzimvubu-Tsitsikamma CMA'!H62,E_budgeted!H332),'Mzimvubu-Tsitsikamma CMA'!H62)</f>
        <v>1513516.0683333334</v>
      </c>
      <c r="I260" s="32">
        <f>IF(INDEX(E_budgeted!$B$3:$G$13,MATCH($A260,E_budgeted!$A$3:$A$13,0),MATCH($A$239,E_budgeted!$B$2:$G$2,0))&gt;0,MIN('Mzimvubu-Tsitsikamma CMA'!I62,E_budgeted!I332),'Mzimvubu-Tsitsikamma CMA'!I62)</f>
        <v>1513516.0683333334</v>
      </c>
      <c r="J260" s="32">
        <f>IF(INDEX(E_budgeted!$B$3:$G$13,MATCH($A260,E_budgeted!$A$3:$A$13,0),MATCH($A$239,E_budgeted!$B$2:$G$2,0))&gt;0,MIN('Mzimvubu-Tsitsikamma CMA'!J62,E_budgeted!J332),'Mzimvubu-Tsitsikamma CMA'!J62)</f>
        <v>1513516.0683333334</v>
      </c>
      <c r="K260" s="32">
        <f>IF(INDEX(E_budgeted!$B$3:$G$13,MATCH($A260,E_budgeted!$A$3:$A$13,0),MATCH($A$239,E_budgeted!$B$2:$G$2,0))&gt;0,MIN('Mzimvubu-Tsitsikamma CMA'!K62,E_budgeted!K332),'Mzimvubu-Tsitsikamma CMA'!K62)</f>
        <v>1513516.0683333334</v>
      </c>
      <c r="L260" s="5">
        <f t="shared" si="180"/>
        <v>1513516.0683333334</v>
      </c>
    </row>
    <row r="261" spans="1:12" x14ac:dyDescent="0.25">
      <c r="A261" s="4" t="s">
        <v>13</v>
      </c>
      <c r="B261" s="32">
        <f>IF(INDEX(E_budgeted!$B$3:$G$13,MATCH($A261,E_budgeted!$A$3:$A$13,0),MATCH($A$239,E_budgeted!$B$2:$G$2,0))&gt;0,MIN('Mzimvubu-Tsitsikamma CMA'!B63,E_budgeted!B333),'Mzimvubu-Tsitsikamma CMA'!B63)</f>
        <v>0</v>
      </c>
      <c r="C261" s="32">
        <f>IF(INDEX(E_budgeted!$B$3:$G$13,MATCH($A261,E_budgeted!$A$3:$A$13,0),MATCH($A$239,E_budgeted!$B$2:$G$2,0))&gt;0,MIN('Mzimvubu-Tsitsikamma CMA'!C63,E_budgeted!C333),'Mzimvubu-Tsitsikamma CMA'!C63)</f>
        <v>0</v>
      </c>
      <c r="D261" s="32">
        <f>IF(INDEX(E_budgeted!$B$3:$G$13,MATCH($A261,E_budgeted!$A$3:$A$13,0),MATCH($A$239,E_budgeted!$B$2:$G$2,0))&gt;0,MIN('Mzimvubu-Tsitsikamma CMA'!D63,E_budgeted!D333),'Mzimvubu-Tsitsikamma CMA'!D63)</f>
        <v>0</v>
      </c>
      <c r="E261" s="32">
        <f>IF(INDEX(E_budgeted!$B$3:$G$13,MATCH($A261,E_budgeted!$A$3:$A$13,0),MATCH($A$239,E_budgeted!$B$2:$G$2,0))&gt;0,MIN('Mzimvubu-Tsitsikamma CMA'!E63,E_budgeted!E333),'Mzimvubu-Tsitsikamma CMA'!E63)</f>
        <v>0</v>
      </c>
      <c r="F261" s="32">
        <f>IF(INDEX(E_budgeted!$B$3:$G$13,MATCH($A261,E_budgeted!$A$3:$A$13,0),MATCH($A$239,E_budgeted!$B$2:$G$2,0))&gt;0,MIN('Mzimvubu-Tsitsikamma CMA'!F63,E_budgeted!F333),'Mzimvubu-Tsitsikamma CMA'!F63)</f>
        <v>0</v>
      </c>
      <c r="G261" s="32">
        <f>IF(INDEX(E_budgeted!$B$3:$G$13,MATCH($A261,E_budgeted!$A$3:$A$13,0),MATCH($A$239,E_budgeted!$B$2:$G$2,0))&gt;0,MIN('Mzimvubu-Tsitsikamma CMA'!G63,E_budgeted!G333),'Mzimvubu-Tsitsikamma CMA'!G63)</f>
        <v>0</v>
      </c>
      <c r="H261" s="32">
        <f>IF(INDEX(E_budgeted!$B$3:$G$13,MATCH($A261,E_budgeted!$A$3:$A$13,0),MATCH($A$239,E_budgeted!$B$2:$G$2,0))&gt;0,MIN('Mzimvubu-Tsitsikamma CMA'!H63,E_budgeted!H333),'Mzimvubu-Tsitsikamma CMA'!H63)</f>
        <v>0</v>
      </c>
      <c r="I261" s="32">
        <f>IF(INDEX(E_budgeted!$B$3:$G$13,MATCH($A261,E_budgeted!$A$3:$A$13,0),MATCH($A$239,E_budgeted!$B$2:$G$2,0))&gt;0,MIN('Mzimvubu-Tsitsikamma CMA'!I63,E_budgeted!I333),'Mzimvubu-Tsitsikamma CMA'!I63)</f>
        <v>0</v>
      </c>
      <c r="J261" s="32">
        <f>IF(INDEX(E_budgeted!$B$3:$G$13,MATCH($A261,E_budgeted!$A$3:$A$13,0),MATCH($A$239,E_budgeted!$B$2:$G$2,0))&gt;0,MIN('Mzimvubu-Tsitsikamma CMA'!J63,E_budgeted!J333),'Mzimvubu-Tsitsikamma CMA'!J63)</f>
        <v>0</v>
      </c>
      <c r="K261" s="32">
        <f>IF(INDEX(E_budgeted!$B$3:$G$13,MATCH($A261,E_budgeted!$A$3:$A$13,0),MATCH($A$239,E_budgeted!$B$2:$G$2,0))&gt;0,MIN('Mzimvubu-Tsitsikamma CMA'!K63,E_budgeted!K333),'Mzimvubu-Tsitsikamma CMA'!K63)</f>
        <v>0</v>
      </c>
      <c r="L261" s="5">
        <f t="shared" si="180"/>
        <v>0</v>
      </c>
    </row>
    <row r="262" spans="1:12" x14ac:dyDescent="0.25">
      <c r="A262" s="4" t="s">
        <v>14</v>
      </c>
      <c r="B262" s="32">
        <f>IF(INDEX(E_budgeted!$B$3:$G$13,MATCH($A262,E_budgeted!$A$3:$A$13,0),MATCH($A$239,E_budgeted!$B$2:$G$2,0))&gt;0,MIN('Mzimvubu-Tsitsikamma CMA'!B64,E_budgeted!B334),'Mzimvubu-Tsitsikamma CMA'!B64)</f>
        <v>0</v>
      </c>
      <c r="C262" s="32">
        <f>IF(INDEX(E_budgeted!$B$3:$G$13,MATCH($A262,E_budgeted!$A$3:$A$13,0),MATCH($A$239,E_budgeted!$B$2:$G$2,0))&gt;0,MIN('Mzimvubu-Tsitsikamma CMA'!C64,E_budgeted!C334),'Mzimvubu-Tsitsikamma CMA'!C64)</f>
        <v>0</v>
      </c>
      <c r="D262" s="32">
        <f>IF(INDEX(E_budgeted!$B$3:$G$13,MATCH($A262,E_budgeted!$A$3:$A$13,0),MATCH($A$239,E_budgeted!$B$2:$G$2,0))&gt;0,MIN('Mzimvubu-Tsitsikamma CMA'!D64,E_budgeted!D334),'Mzimvubu-Tsitsikamma CMA'!D64)</f>
        <v>0</v>
      </c>
      <c r="E262" s="32">
        <f>IF(INDEX(E_budgeted!$B$3:$G$13,MATCH($A262,E_budgeted!$A$3:$A$13,0),MATCH($A$239,E_budgeted!$B$2:$G$2,0))&gt;0,MIN('Mzimvubu-Tsitsikamma CMA'!E64,E_budgeted!E334),'Mzimvubu-Tsitsikamma CMA'!E64)</f>
        <v>0</v>
      </c>
      <c r="F262" s="32">
        <f>IF(INDEX(E_budgeted!$B$3:$G$13,MATCH($A262,E_budgeted!$A$3:$A$13,0),MATCH($A$239,E_budgeted!$B$2:$G$2,0))&gt;0,MIN('Mzimvubu-Tsitsikamma CMA'!F64,E_budgeted!F334),'Mzimvubu-Tsitsikamma CMA'!F64)</f>
        <v>0</v>
      </c>
      <c r="G262" s="32">
        <f>IF(INDEX(E_budgeted!$B$3:$G$13,MATCH($A262,E_budgeted!$A$3:$A$13,0),MATCH($A$239,E_budgeted!$B$2:$G$2,0))&gt;0,MIN('Mzimvubu-Tsitsikamma CMA'!G64,E_budgeted!G334),'Mzimvubu-Tsitsikamma CMA'!G64)</f>
        <v>0</v>
      </c>
      <c r="H262" s="32">
        <f>IF(INDEX(E_budgeted!$B$3:$G$13,MATCH($A262,E_budgeted!$A$3:$A$13,0),MATCH($A$239,E_budgeted!$B$2:$G$2,0))&gt;0,MIN('Mzimvubu-Tsitsikamma CMA'!H64,E_budgeted!H334),'Mzimvubu-Tsitsikamma CMA'!H64)</f>
        <v>0</v>
      </c>
      <c r="I262" s="32">
        <f>IF(INDEX(E_budgeted!$B$3:$G$13,MATCH($A262,E_budgeted!$A$3:$A$13,0),MATCH($A$239,E_budgeted!$B$2:$G$2,0))&gt;0,MIN('Mzimvubu-Tsitsikamma CMA'!I64,E_budgeted!I334),'Mzimvubu-Tsitsikamma CMA'!I64)</f>
        <v>0</v>
      </c>
      <c r="J262" s="32">
        <f>IF(INDEX(E_budgeted!$B$3:$G$13,MATCH($A262,E_budgeted!$A$3:$A$13,0),MATCH($A$239,E_budgeted!$B$2:$G$2,0))&gt;0,MIN('Mzimvubu-Tsitsikamma CMA'!J64,E_budgeted!J334),'Mzimvubu-Tsitsikamma CMA'!J64)</f>
        <v>0</v>
      </c>
      <c r="K262" s="32">
        <f>IF(INDEX(E_budgeted!$B$3:$G$13,MATCH($A262,E_budgeted!$A$3:$A$13,0),MATCH($A$239,E_budgeted!$B$2:$G$2,0))&gt;0,MIN('Mzimvubu-Tsitsikamma CMA'!K64,E_budgeted!K334),'Mzimvubu-Tsitsikamma CMA'!K64)</f>
        <v>0</v>
      </c>
      <c r="L262" s="5">
        <f t="shared" si="180"/>
        <v>0</v>
      </c>
    </row>
    <row r="263" spans="1:12" x14ac:dyDescent="0.25">
      <c r="A263" s="4" t="s">
        <v>125</v>
      </c>
      <c r="B263" s="32">
        <f>IF(INDEX(E_budgeted!$B$3:$G$13,MATCH($A263,E_budgeted!$A$3:$A$13,0),MATCH($A$239,E_budgeted!$B$2:$G$2,0))&gt;0,MIN('Mzimvubu-Tsitsikamma CMA'!B65,E_budgeted!B335),'Mzimvubu-Tsitsikamma CMA'!B65)</f>
        <v>511702.37919945654</v>
      </c>
      <c r="C263" s="32">
        <f>IF(INDEX(E_budgeted!$B$3:$G$13,MATCH($A263,E_budgeted!$A$3:$A$13,0),MATCH($A$239,E_budgeted!$B$2:$G$2,0))&gt;0,MIN('Mzimvubu-Tsitsikamma CMA'!C65,E_budgeted!C335),'Mzimvubu-Tsitsikamma CMA'!C65)</f>
        <v>511702.37919945654</v>
      </c>
      <c r="D263" s="32">
        <f>IF(INDEX(E_budgeted!$B$3:$G$13,MATCH($A263,E_budgeted!$A$3:$A$13,0),MATCH($A$239,E_budgeted!$B$2:$G$2,0))&gt;0,MIN('Mzimvubu-Tsitsikamma CMA'!D65,E_budgeted!D335),'Mzimvubu-Tsitsikamma CMA'!D65)</f>
        <v>511702.37919945654</v>
      </c>
      <c r="E263" s="32">
        <f>IF(INDEX(E_budgeted!$B$3:$G$13,MATCH($A263,E_budgeted!$A$3:$A$13,0),MATCH($A$239,E_budgeted!$B$2:$G$2,0))&gt;0,MIN('Mzimvubu-Tsitsikamma CMA'!E65,E_budgeted!E335),'Mzimvubu-Tsitsikamma CMA'!E65)</f>
        <v>511702.37919945654</v>
      </c>
      <c r="F263" s="32">
        <f>IF(INDEX(E_budgeted!$B$3:$G$13,MATCH($A263,E_budgeted!$A$3:$A$13,0),MATCH($A$239,E_budgeted!$B$2:$G$2,0))&gt;0,MIN('Mzimvubu-Tsitsikamma CMA'!F65,E_budgeted!F335),'Mzimvubu-Tsitsikamma CMA'!F65)</f>
        <v>511702.37919945654</v>
      </c>
      <c r="G263" s="32">
        <f>IF(INDEX(E_budgeted!$B$3:$G$13,MATCH($A263,E_budgeted!$A$3:$A$13,0),MATCH($A$239,E_budgeted!$B$2:$G$2,0))&gt;0,MIN('Mzimvubu-Tsitsikamma CMA'!G65,E_budgeted!G335),'Mzimvubu-Tsitsikamma CMA'!G65)</f>
        <v>511702.37919945654</v>
      </c>
      <c r="H263" s="32">
        <f>IF(INDEX(E_budgeted!$B$3:$G$13,MATCH($A263,E_budgeted!$A$3:$A$13,0),MATCH($A$239,E_budgeted!$B$2:$G$2,0))&gt;0,MIN('Mzimvubu-Tsitsikamma CMA'!H65,E_budgeted!H335),'Mzimvubu-Tsitsikamma CMA'!H65)</f>
        <v>511702.37919945654</v>
      </c>
      <c r="I263" s="32">
        <f>IF(INDEX(E_budgeted!$B$3:$G$13,MATCH($A263,E_budgeted!$A$3:$A$13,0),MATCH($A$239,E_budgeted!$B$2:$G$2,0))&gt;0,MIN('Mzimvubu-Tsitsikamma CMA'!I65,E_budgeted!I335),'Mzimvubu-Tsitsikamma CMA'!I65)</f>
        <v>511702.37919945654</v>
      </c>
      <c r="J263" s="32">
        <f>IF(INDEX(E_budgeted!$B$3:$G$13,MATCH($A263,E_budgeted!$A$3:$A$13,0),MATCH($A$239,E_budgeted!$B$2:$G$2,0))&gt;0,MIN('Mzimvubu-Tsitsikamma CMA'!J65,E_budgeted!J335),'Mzimvubu-Tsitsikamma CMA'!J65)</f>
        <v>511702.37919945654</v>
      </c>
      <c r="K263" s="32">
        <f>IF(INDEX(E_budgeted!$B$3:$G$13,MATCH($A263,E_budgeted!$A$3:$A$13,0),MATCH($A$239,E_budgeted!$B$2:$G$2,0))&gt;0,MIN('Mzimvubu-Tsitsikamma CMA'!K65,E_budgeted!K335),'Mzimvubu-Tsitsikamma CMA'!K65)</f>
        <v>511702.37919945654</v>
      </c>
      <c r="L263" s="5">
        <f t="shared" si="180"/>
        <v>511702.37919945654</v>
      </c>
    </row>
    <row r="264" spans="1:12" x14ac:dyDescent="0.25">
      <c r="A264" s="4" t="s">
        <v>37</v>
      </c>
      <c r="B264" s="32">
        <f>IF(INDEX(E_budgeted!$B$3:$G$13,MATCH($A264,E_budgeted!$A$3:$A$13,0),MATCH($A$239,E_budgeted!$B$2:$G$2,0))&gt;0,MIN('Mzimvubu-Tsitsikamma CMA'!B66,E_budgeted!B336),'Mzimvubu-Tsitsikamma CMA'!B66)</f>
        <v>11721212.772824993</v>
      </c>
      <c r="C264" s="32">
        <f>IF(INDEX(E_budgeted!$B$3:$G$13,MATCH($A264,E_budgeted!$A$3:$A$13,0),MATCH($A$239,E_budgeted!$B$2:$G$2,0))&gt;0,MIN('Mzimvubu-Tsitsikamma CMA'!C66,E_budgeted!C336),'Mzimvubu-Tsitsikamma CMA'!C66)</f>
        <v>11721212.772824993</v>
      </c>
      <c r="D264" s="32">
        <f>IF(INDEX(E_budgeted!$B$3:$G$13,MATCH($A264,E_budgeted!$A$3:$A$13,0),MATCH($A$239,E_budgeted!$B$2:$G$2,0))&gt;0,MIN('Mzimvubu-Tsitsikamma CMA'!D66,E_budgeted!D336),'Mzimvubu-Tsitsikamma CMA'!D66)</f>
        <v>11721212.772824993</v>
      </c>
      <c r="E264" s="32">
        <f>IF(INDEX(E_budgeted!$B$3:$G$13,MATCH($A264,E_budgeted!$A$3:$A$13,0),MATCH($A$239,E_budgeted!$B$2:$G$2,0))&gt;0,MIN('Mzimvubu-Tsitsikamma CMA'!E66,E_budgeted!E336),'Mzimvubu-Tsitsikamma CMA'!E66)</f>
        <v>11721212.772824993</v>
      </c>
      <c r="F264" s="32">
        <f>IF(INDEX(E_budgeted!$B$3:$G$13,MATCH($A264,E_budgeted!$A$3:$A$13,0),MATCH($A$239,E_budgeted!$B$2:$G$2,0))&gt;0,MIN('Mzimvubu-Tsitsikamma CMA'!F66,E_budgeted!F336),'Mzimvubu-Tsitsikamma CMA'!F66)</f>
        <v>11721212.772824993</v>
      </c>
      <c r="G264" s="32">
        <f>IF(INDEX(E_budgeted!$B$3:$G$13,MATCH($A264,E_budgeted!$A$3:$A$13,0),MATCH($A$239,E_budgeted!$B$2:$G$2,0))&gt;0,MIN('Mzimvubu-Tsitsikamma CMA'!G66,E_budgeted!G336),'Mzimvubu-Tsitsikamma CMA'!G66)</f>
        <v>11721212.772824993</v>
      </c>
      <c r="H264" s="32">
        <f>IF(INDEX(E_budgeted!$B$3:$G$13,MATCH($A264,E_budgeted!$A$3:$A$13,0),MATCH($A$239,E_budgeted!$B$2:$G$2,0))&gt;0,MIN('Mzimvubu-Tsitsikamma CMA'!H66,E_budgeted!H336),'Mzimvubu-Tsitsikamma CMA'!H66)</f>
        <v>11721212.772824993</v>
      </c>
      <c r="I264" s="32">
        <f>IF(INDEX(E_budgeted!$B$3:$G$13,MATCH($A264,E_budgeted!$A$3:$A$13,0),MATCH($A$239,E_budgeted!$B$2:$G$2,0))&gt;0,MIN('Mzimvubu-Tsitsikamma CMA'!I66,E_budgeted!I336),'Mzimvubu-Tsitsikamma CMA'!I66)</f>
        <v>11721212.772824993</v>
      </c>
      <c r="J264" s="32">
        <f>IF(INDEX(E_budgeted!$B$3:$G$13,MATCH($A264,E_budgeted!$A$3:$A$13,0),MATCH($A$239,E_budgeted!$B$2:$G$2,0))&gt;0,MIN('Mzimvubu-Tsitsikamma CMA'!J66,E_budgeted!J336),'Mzimvubu-Tsitsikamma CMA'!J66)</f>
        <v>11721212.772824993</v>
      </c>
      <c r="K264" s="32">
        <f>IF(INDEX(E_budgeted!$B$3:$G$13,MATCH($A264,E_budgeted!$A$3:$A$13,0),MATCH($A$239,E_budgeted!$B$2:$G$2,0))&gt;0,MIN('Mzimvubu-Tsitsikamma CMA'!K66,E_budgeted!K336),'Mzimvubu-Tsitsikamma CMA'!K66)</f>
        <v>11721212.772824993</v>
      </c>
      <c r="L264" s="5">
        <f t="shared" si="180"/>
        <v>11721212.772824991</v>
      </c>
    </row>
    <row r="265" spans="1:12" x14ac:dyDescent="0.25">
      <c r="A265" s="4" t="s">
        <v>38</v>
      </c>
      <c r="B265" s="32">
        <f>IF(INDEX(E_budgeted!$B$3:$G$13,MATCH($A265,E_budgeted!$A$3:$A$13,0),MATCH($A$239,E_budgeted!$B$2:$G$2,0))&gt;0,MIN('Mzimvubu-Tsitsikamma CMA'!B67,E_budgeted!B337),'Mzimvubu-Tsitsikamma CMA'!B67)</f>
        <v>189249.10200000004</v>
      </c>
      <c r="C265" s="32">
        <f>IF(INDEX(E_budgeted!$B$3:$G$13,MATCH($A265,E_budgeted!$A$3:$A$13,0),MATCH($A$239,E_budgeted!$B$2:$G$2,0))&gt;0,MIN('Mzimvubu-Tsitsikamma CMA'!C67,E_budgeted!C337),'Mzimvubu-Tsitsikamma CMA'!C67)</f>
        <v>189249.10200000004</v>
      </c>
      <c r="D265" s="32">
        <f>IF(INDEX(E_budgeted!$B$3:$G$13,MATCH($A265,E_budgeted!$A$3:$A$13,0),MATCH($A$239,E_budgeted!$B$2:$G$2,0))&gt;0,MIN('Mzimvubu-Tsitsikamma CMA'!D67,E_budgeted!D337),'Mzimvubu-Tsitsikamma CMA'!D67)</f>
        <v>189249.10200000004</v>
      </c>
      <c r="E265" s="32">
        <f>IF(INDEX(E_budgeted!$B$3:$G$13,MATCH($A265,E_budgeted!$A$3:$A$13,0),MATCH($A$239,E_budgeted!$B$2:$G$2,0))&gt;0,MIN('Mzimvubu-Tsitsikamma CMA'!E67,E_budgeted!E337),'Mzimvubu-Tsitsikamma CMA'!E67)</f>
        <v>189249.10200000004</v>
      </c>
      <c r="F265" s="32">
        <f>IF(INDEX(E_budgeted!$B$3:$G$13,MATCH($A265,E_budgeted!$A$3:$A$13,0),MATCH($A$239,E_budgeted!$B$2:$G$2,0))&gt;0,MIN('Mzimvubu-Tsitsikamma CMA'!F67,E_budgeted!F337),'Mzimvubu-Tsitsikamma CMA'!F67)</f>
        <v>189249.10200000004</v>
      </c>
      <c r="G265" s="32">
        <f>IF(INDEX(E_budgeted!$B$3:$G$13,MATCH($A265,E_budgeted!$A$3:$A$13,0),MATCH($A$239,E_budgeted!$B$2:$G$2,0))&gt;0,MIN('Mzimvubu-Tsitsikamma CMA'!G67,E_budgeted!G337),'Mzimvubu-Tsitsikamma CMA'!G67)</f>
        <v>189249.10200000004</v>
      </c>
      <c r="H265" s="32">
        <f>IF(INDEX(E_budgeted!$B$3:$G$13,MATCH($A265,E_budgeted!$A$3:$A$13,0),MATCH($A$239,E_budgeted!$B$2:$G$2,0))&gt;0,MIN('Mzimvubu-Tsitsikamma CMA'!H67,E_budgeted!H337),'Mzimvubu-Tsitsikamma CMA'!H67)</f>
        <v>189249.10200000004</v>
      </c>
      <c r="I265" s="32">
        <f>IF(INDEX(E_budgeted!$B$3:$G$13,MATCH($A265,E_budgeted!$A$3:$A$13,0),MATCH($A$239,E_budgeted!$B$2:$G$2,0))&gt;0,MIN('Mzimvubu-Tsitsikamma CMA'!I67,E_budgeted!I337),'Mzimvubu-Tsitsikamma CMA'!I67)</f>
        <v>189249.10200000004</v>
      </c>
      <c r="J265" s="32">
        <f>IF(INDEX(E_budgeted!$B$3:$G$13,MATCH($A265,E_budgeted!$A$3:$A$13,0),MATCH($A$239,E_budgeted!$B$2:$G$2,0))&gt;0,MIN('Mzimvubu-Tsitsikamma CMA'!J67,E_budgeted!J337),'Mzimvubu-Tsitsikamma CMA'!J67)</f>
        <v>189249.10200000004</v>
      </c>
      <c r="K265" s="32">
        <f>IF(INDEX(E_budgeted!$B$3:$G$13,MATCH($A265,E_budgeted!$A$3:$A$13,0),MATCH($A$239,E_budgeted!$B$2:$G$2,0))&gt;0,MIN('Mzimvubu-Tsitsikamma CMA'!K67,E_budgeted!K337),'Mzimvubu-Tsitsikamma CMA'!K67)</f>
        <v>189249.10200000004</v>
      </c>
      <c r="L265" s="5">
        <f t="shared" si="180"/>
        <v>189249.10200000001</v>
      </c>
    </row>
    <row r="266" spans="1:12" x14ac:dyDescent="0.25">
      <c r="A266" s="4" t="s">
        <v>15</v>
      </c>
      <c r="B266" s="13">
        <f>IF(INDEX(E_budgeted!$B$3:$G$13,MATCH($A266,E_budgeted!$A$3:$A$13,0),MATCH($A$239,E_budgeted!$B$2:$G$2,0))&gt;0,MIN('Mzimvubu-Tsitsikamma CMA'!B68,E_budgeted!B338),'Mzimvubu-Tsitsikamma CMA'!B68)</f>
        <v>8631281.2525575198</v>
      </c>
      <c r="C266" s="13">
        <f>IF(INDEX(E_budgeted!$B$3:$G$13,MATCH($A266,E_budgeted!$A$3:$A$13,0),MATCH($A$239,E_budgeted!$B$2:$G$2,0))&gt;0,MIN('Mzimvubu-Tsitsikamma CMA'!C68,E_budgeted!C338),'Mzimvubu-Tsitsikamma CMA'!C68)</f>
        <v>8631281.2525575198</v>
      </c>
      <c r="D266" s="13">
        <f>IF(INDEX(E_budgeted!$B$3:$G$13,MATCH($A266,E_budgeted!$A$3:$A$13,0),MATCH($A$239,E_budgeted!$B$2:$G$2,0))&gt;0,MIN('Mzimvubu-Tsitsikamma CMA'!D68,E_budgeted!D338),'Mzimvubu-Tsitsikamma CMA'!D68)</f>
        <v>8631281.2525575198</v>
      </c>
      <c r="E266" s="13">
        <f>IF(INDEX(E_budgeted!$B$3:$G$13,MATCH($A266,E_budgeted!$A$3:$A$13,0),MATCH($A$239,E_budgeted!$B$2:$G$2,0))&gt;0,MIN('Mzimvubu-Tsitsikamma CMA'!E68,E_budgeted!E338),'Mzimvubu-Tsitsikamma CMA'!E68)</f>
        <v>8631281.2525575198</v>
      </c>
      <c r="F266" s="13">
        <f>IF(INDEX(E_budgeted!$B$3:$G$13,MATCH($A266,E_budgeted!$A$3:$A$13,0),MATCH($A$239,E_budgeted!$B$2:$G$2,0))&gt;0,MIN('Mzimvubu-Tsitsikamma CMA'!F68,E_budgeted!F338),'Mzimvubu-Tsitsikamma CMA'!F68)</f>
        <v>8631281.2525575198</v>
      </c>
      <c r="G266" s="13">
        <f>IF(INDEX(E_budgeted!$B$3:$G$13,MATCH($A266,E_budgeted!$A$3:$A$13,0),MATCH($A$239,E_budgeted!$B$2:$G$2,0))&gt;0,MIN('Mzimvubu-Tsitsikamma CMA'!G68,E_budgeted!G338),'Mzimvubu-Tsitsikamma CMA'!G68)</f>
        <v>8631281.2525575198</v>
      </c>
      <c r="H266" s="13">
        <f>IF(INDEX(E_budgeted!$B$3:$G$13,MATCH($A266,E_budgeted!$A$3:$A$13,0),MATCH($A$239,E_budgeted!$B$2:$G$2,0))&gt;0,MIN('Mzimvubu-Tsitsikamma CMA'!H68,E_budgeted!H338),'Mzimvubu-Tsitsikamma CMA'!H68)</f>
        <v>8631281.2525575198</v>
      </c>
      <c r="I266" s="13">
        <f>IF(INDEX(E_budgeted!$B$3:$G$13,MATCH($A266,E_budgeted!$A$3:$A$13,0),MATCH($A$239,E_budgeted!$B$2:$G$2,0))&gt;0,MIN('Mzimvubu-Tsitsikamma CMA'!I68,E_budgeted!I338),'Mzimvubu-Tsitsikamma CMA'!I68)</f>
        <v>8631281.2525575198</v>
      </c>
      <c r="J266" s="13">
        <f>IF(INDEX(E_budgeted!$B$3:$G$13,MATCH($A266,E_budgeted!$A$3:$A$13,0),MATCH($A$239,E_budgeted!$B$2:$G$2,0))&gt;0,MIN('Mzimvubu-Tsitsikamma CMA'!J68,E_budgeted!J338),'Mzimvubu-Tsitsikamma CMA'!J68)</f>
        <v>8631281.2525575198</v>
      </c>
      <c r="K266" s="13">
        <f>IF(INDEX(E_budgeted!$B$3:$G$13,MATCH($A266,E_budgeted!$A$3:$A$13,0),MATCH($A$239,E_budgeted!$B$2:$G$2,0))&gt;0,MIN('Mzimvubu-Tsitsikamma CMA'!K68,E_budgeted!K338),'Mzimvubu-Tsitsikamma CMA'!K68)</f>
        <v>8631281.2525575198</v>
      </c>
      <c r="L266" s="5">
        <f t="shared" si="180"/>
        <v>8631281.252557518</v>
      </c>
    </row>
    <row r="267" spans="1:12" x14ac:dyDescent="0.25">
      <c r="B267" s="5">
        <f t="shared" ref="B267:K267" si="181">SUM(B256:B266)</f>
        <v>28700159.364273462</v>
      </c>
      <c r="C267" s="5">
        <f t="shared" si="181"/>
        <v>28700159.364273462</v>
      </c>
      <c r="D267" s="5">
        <f t="shared" si="181"/>
        <v>28700159.364273462</v>
      </c>
      <c r="E267" s="5">
        <f t="shared" si="181"/>
        <v>28700159.364273462</v>
      </c>
      <c r="F267" s="5">
        <f t="shared" si="181"/>
        <v>28700159.364273462</v>
      </c>
      <c r="G267" s="5">
        <f t="shared" si="181"/>
        <v>28700159.364273462</v>
      </c>
      <c r="H267" s="5">
        <f t="shared" si="181"/>
        <v>28700159.364273462</v>
      </c>
      <c r="I267" s="5">
        <f t="shared" si="181"/>
        <v>28700159.364273462</v>
      </c>
      <c r="J267" s="5">
        <f t="shared" si="181"/>
        <v>28700159.364273462</v>
      </c>
      <c r="K267" s="5">
        <f t="shared" si="181"/>
        <v>28700159.364273462</v>
      </c>
      <c r="L267" s="5"/>
    </row>
    <row r="268" spans="1:12" x14ac:dyDescent="0.25">
      <c r="B268" s="16">
        <f>B267/$B$253</f>
        <v>0.42299915779639807</v>
      </c>
      <c r="C268" s="5"/>
      <c r="D268" s="5"/>
      <c r="E268" s="5"/>
      <c r="F268" s="5"/>
      <c r="G268" s="5"/>
      <c r="H268" s="5"/>
      <c r="I268" s="5"/>
      <c r="J268" s="5"/>
      <c r="K268" s="5"/>
      <c r="L268" s="5"/>
    </row>
    <row r="270" spans="1:12" ht="30" x14ac:dyDescent="0.25">
      <c r="A270" s="15" t="s">
        <v>57</v>
      </c>
      <c r="B270" s="12" t="str">
        <f>'Summary dashboard'!C4</f>
        <v>2023</v>
      </c>
      <c r="C270" s="12">
        <f t="shared" ref="C270" si="182">B270+1</f>
        <v>2024</v>
      </c>
      <c r="D270" s="12">
        <f t="shared" ref="D270" si="183">C270+1</f>
        <v>2025</v>
      </c>
      <c r="E270" s="12">
        <f t="shared" ref="E270" si="184">D270+1</f>
        <v>2026</v>
      </c>
      <c r="F270" s="12">
        <f t="shared" ref="F270" si="185">E270+1</f>
        <v>2027</v>
      </c>
      <c r="G270" s="12">
        <f t="shared" ref="G270" si="186">F270+1</f>
        <v>2028</v>
      </c>
      <c r="H270" s="12">
        <f t="shared" ref="H270" si="187">G270+1</f>
        <v>2029</v>
      </c>
      <c r="I270" s="12">
        <f t="shared" ref="I270" si="188">H270+1</f>
        <v>2030</v>
      </c>
      <c r="J270" s="12">
        <f t="shared" ref="J270" si="189">I270+1</f>
        <v>2031</v>
      </c>
      <c r="K270" s="12">
        <f t="shared" ref="K270" si="190">J270+1</f>
        <v>2032</v>
      </c>
      <c r="L270" s="1" t="s">
        <v>28</v>
      </c>
    </row>
    <row r="271" spans="1:12" x14ac:dyDescent="0.25">
      <c r="A271" s="4" t="s">
        <v>35</v>
      </c>
      <c r="B271" s="32">
        <f>IF(INDEX(E_budgeted!$B$3:$G$13,MATCH($A271,E_budgeted!$A$3:$A$13,0),MATCH($A$239,E_budgeted!$B$2:$G$2,0))&gt;0,MIN('Mzimvubu-Tsitsikamma CMA'!B73,E_budgeted!B343),'Mzimvubu-Tsitsikamma CMA'!B73)</f>
        <v>3497142.8826248171</v>
      </c>
      <c r="C271" s="32">
        <f>IF(INDEX(E_budgeted!$B$3:$G$13,MATCH($A271,E_budgeted!$A$3:$A$13,0),MATCH($A$239,E_budgeted!$B$2:$G$2,0))&gt;0,MIN('Mzimvubu-Tsitsikamma CMA'!C73,E_budgeted!C343),'Mzimvubu-Tsitsikamma CMA'!C73)</f>
        <v>3497142.8826248171</v>
      </c>
      <c r="D271" s="32">
        <f>IF(INDEX(E_budgeted!$B$3:$G$13,MATCH($A271,E_budgeted!$A$3:$A$13,0),MATCH($A$239,E_budgeted!$B$2:$G$2,0))&gt;0,MIN('Mzimvubu-Tsitsikamma CMA'!D73,E_budgeted!D343),'Mzimvubu-Tsitsikamma CMA'!D73)</f>
        <v>3497142.8826248171</v>
      </c>
      <c r="E271" s="32">
        <f>IF(INDEX(E_budgeted!$B$3:$G$13,MATCH($A271,E_budgeted!$A$3:$A$13,0),MATCH($A$239,E_budgeted!$B$2:$G$2,0))&gt;0,MIN('Mzimvubu-Tsitsikamma CMA'!E73,E_budgeted!E343),'Mzimvubu-Tsitsikamma CMA'!E73)</f>
        <v>3497142.8826248171</v>
      </c>
      <c r="F271" s="32">
        <f>IF(INDEX(E_budgeted!$B$3:$G$13,MATCH($A271,E_budgeted!$A$3:$A$13,0),MATCH($A$239,E_budgeted!$B$2:$G$2,0))&gt;0,MIN('Mzimvubu-Tsitsikamma CMA'!F73,E_budgeted!F343),'Mzimvubu-Tsitsikamma CMA'!F73)</f>
        <v>3497142.8826248171</v>
      </c>
      <c r="G271" s="32">
        <f>IF(INDEX(E_budgeted!$B$3:$G$13,MATCH($A271,E_budgeted!$A$3:$A$13,0),MATCH($A$239,E_budgeted!$B$2:$G$2,0))&gt;0,MIN('Mzimvubu-Tsitsikamma CMA'!G73,E_budgeted!G343),'Mzimvubu-Tsitsikamma CMA'!G73)</f>
        <v>3497142.8826248171</v>
      </c>
      <c r="H271" s="32">
        <f>IF(INDEX(E_budgeted!$B$3:$G$13,MATCH($A271,E_budgeted!$A$3:$A$13,0),MATCH($A$239,E_budgeted!$B$2:$G$2,0))&gt;0,MIN('Mzimvubu-Tsitsikamma CMA'!H73,E_budgeted!H343),'Mzimvubu-Tsitsikamma CMA'!H73)</f>
        <v>3497142.8826248171</v>
      </c>
      <c r="I271" s="32">
        <f>IF(INDEX(E_budgeted!$B$3:$G$13,MATCH($A271,E_budgeted!$A$3:$A$13,0),MATCH($A$239,E_budgeted!$B$2:$G$2,0))&gt;0,MIN('Mzimvubu-Tsitsikamma CMA'!I73,E_budgeted!I343),'Mzimvubu-Tsitsikamma CMA'!I73)</f>
        <v>3497142.8826248171</v>
      </c>
      <c r="J271" s="32">
        <f>IF(INDEX(E_budgeted!$B$3:$G$13,MATCH($A271,E_budgeted!$A$3:$A$13,0),MATCH($A$239,E_budgeted!$B$2:$G$2,0))&gt;0,MIN('Mzimvubu-Tsitsikamma CMA'!J73,E_budgeted!J343),'Mzimvubu-Tsitsikamma CMA'!J73)</f>
        <v>3497142.8826248171</v>
      </c>
      <c r="K271" s="32">
        <f>IF(INDEX(E_budgeted!$B$3:$G$13,MATCH($A271,E_budgeted!$A$3:$A$13,0),MATCH($A$239,E_budgeted!$B$2:$G$2,0))&gt;0,MIN('Mzimvubu-Tsitsikamma CMA'!K73,E_budgeted!K343),'Mzimvubu-Tsitsikamma CMA'!K73)</f>
        <v>3497142.8826248171</v>
      </c>
      <c r="L271" s="5">
        <f>AVERAGE(B271:K271)</f>
        <v>3497142.8826248171</v>
      </c>
    </row>
    <row r="272" spans="1:12" x14ac:dyDescent="0.25">
      <c r="A272" s="4" t="s">
        <v>36</v>
      </c>
      <c r="B272" s="32">
        <f>IF(INDEX(E_budgeted!$B$3:$G$13,MATCH($A272,E_budgeted!$A$3:$A$13,0),MATCH($A$239,E_budgeted!$B$2:$G$2,0))&gt;0,MIN('Mzimvubu-Tsitsikamma CMA'!B74,E_budgeted!B344),'Mzimvubu-Tsitsikamma CMA'!B74)</f>
        <v>336329.0762064567</v>
      </c>
      <c r="C272" s="32">
        <f>IF(INDEX(E_budgeted!$B$3:$G$13,MATCH($A272,E_budgeted!$A$3:$A$13,0),MATCH($A$239,E_budgeted!$B$2:$G$2,0))&gt;0,MIN('Mzimvubu-Tsitsikamma CMA'!C74,E_budgeted!C344),'Mzimvubu-Tsitsikamma CMA'!C74)</f>
        <v>336329.0762064567</v>
      </c>
      <c r="D272" s="32">
        <f>IF(INDEX(E_budgeted!$B$3:$G$13,MATCH($A272,E_budgeted!$A$3:$A$13,0),MATCH($A$239,E_budgeted!$B$2:$G$2,0))&gt;0,MIN('Mzimvubu-Tsitsikamma CMA'!D74,E_budgeted!D344),'Mzimvubu-Tsitsikamma CMA'!D74)</f>
        <v>336329.0762064567</v>
      </c>
      <c r="E272" s="32">
        <f>IF(INDEX(E_budgeted!$B$3:$G$13,MATCH($A272,E_budgeted!$A$3:$A$13,0),MATCH($A$239,E_budgeted!$B$2:$G$2,0))&gt;0,MIN('Mzimvubu-Tsitsikamma CMA'!E74,E_budgeted!E344),'Mzimvubu-Tsitsikamma CMA'!E74)</f>
        <v>336329.0762064567</v>
      </c>
      <c r="F272" s="32">
        <f>IF(INDEX(E_budgeted!$B$3:$G$13,MATCH($A272,E_budgeted!$A$3:$A$13,0),MATCH($A$239,E_budgeted!$B$2:$G$2,0))&gt;0,MIN('Mzimvubu-Tsitsikamma CMA'!F74,E_budgeted!F344),'Mzimvubu-Tsitsikamma CMA'!F74)</f>
        <v>336329.0762064567</v>
      </c>
      <c r="G272" s="32">
        <f>IF(INDEX(E_budgeted!$B$3:$G$13,MATCH($A272,E_budgeted!$A$3:$A$13,0),MATCH($A$239,E_budgeted!$B$2:$G$2,0))&gt;0,MIN('Mzimvubu-Tsitsikamma CMA'!G74,E_budgeted!G344),'Mzimvubu-Tsitsikamma CMA'!G74)</f>
        <v>336329.0762064567</v>
      </c>
      <c r="H272" s="32">
        <f>IF(INDEX(E_budgeted!$B$3:$G$13,MATCH($A272,E_budgeted!$A$3:$A$13,0),MATCH($A$239,E_budgeted!$B$2:$G$2,0))&gt;0,MIN('Mzimvubu-Tsitsikamma CMA'!H74,E_budgeted!H344),'Mzimvubu-Tsitsikamma CMA'!H74)</f>
        <v>336329.0762064567</v>
      </c>
      <c r="I272" s="32">
        <f>IF(INDEX(E_budgeted!$B$3:$G$13,MATCH($A272,E_budgeted!$A$3:$A$13,0),MATCH($A$239,E_budgeted!$B$2:$G$2,0))&gt;0,MIN('Mzimvubu-Tsitsikamma CMA'!I74,E_budgeted!I344),'Mzimvubu-Tsitsikamma CMA'!I74)</f>
        <v>336329.0762064567</v>
      </c>
      <c r="J272" s="32">
        <f>IF(INDEX(E_budgeted!$B$3:$G$13,MATCH($A272,E_budgeted!$A$3:$A$13,0),MATCH($A$239,E_budgeted!$B$2:$G$2,0))&gt;0,MIN('Mzimvubu-Tsitsikamma CMA'!J74,E_budgeted!J344),'Mzimvubu-Tsitsikamma CMA'!J74)</f>
        <v>336329.0762064567</v>
      </c>
      <c r="K272" s="32">
        <f>IF(INDEX(E_budgeted!$B$3:$G$13,MATCH($A272,E_budgeted!$A$3:$A$13,0),MATCH($A$239,E_budgeted!$B$2:$G$2,0))&gt;0,MIN('Mzimvubu-Tsitsikamma CMA'!K74,E_budgeted!K344),'Mzimvubu-Tsitsikamma CMA'!K74)</f>
        <v>336329.0762064567</v>
      </c>
      <c r="L272" s="5">
        <f t="shared" ref="L272:L281" si="191">AVERAGE(B272:K272)</f>
        <v>336329.07620645675</v>
      </c>
    </row>
    <row r="273" spans="1:12" x14ac:dyDescent="0.25">
      <c r="A273" s="4" t="s">
        <v>11</v>
      </c>
      <c r="B273" s="32">
        <f>IF(INDEX(E_budgeted!$B$3:$G$13,MATCH($A273,E_budgeted!$A$3:$A$13,0),MATCH($A$239,E_budgeted!$B$2:$G$2,0))&gt;0,MIN('Mzimvubu-Tsitsikamma CMA'!B75,E_budgeted!B345),'Mzimvubu-Tsitsikamma CMA'!B75)</f>
        <v>0</v>
      </c>
      <c r="C273" s="32">
        <f>IF(INDEX(E_budgeted!$B$3:$G$13,MATCH($A273,E_budgeted!$A$3:$A$13,0),MATCH($A$239,E_budgeted!$B$2:$G$2,0))&gt;0,MIN('Mzimvubu-Tsitsikamma CMA'!C75,E_budgeted!C345),'Mzimvubu-Tsitsikamma CMA'!C75)</f>
        <v>0</v>
      </c>
      <c r="D273" s="32">
        <f>IF(INDEX(E_budgeted!$B$3:$G$13,MATCH($A273,E_budgeted!$A$3:$A$13,0),MATCH($A$239,E_budgeted!$B$2:$G$2,0))&gt;0,MIN('Mzimvubu-Tsitsikamma CMA'!D75,E_budgeted!D345),'Mzimvubu-Tsitsikamma CMA'!D75)</f>
        <v>0</v>
      </c>
      <c r="E273" s="32">
        <f>IF(INDEX(E_budgeted!$B$3:$G$13,MATCH($A273,E_budgeted!$A$3:$A$13,0),MATCH($A$239,E_budgeted!$B$2:$G$2,0))&gt;0,MIN('Mzimvubu-Tsitsikamma CMA'!E75,E_budgeted!E345),'Mzimvubu-Tsitsikamma CMA'!E75)</f>
        <v>0</v>
      </c>
      <c r="F273" s="32">
        <f>IF(INDEX(E_budgeted!$B$3:$G$13,MATCH($A273,E_budgeted!$A$3:$A$13,0),MATCH($A$239,E_budgeted!$B$2:$G$2,0))&gt;0,MIN('Mzimvubu-Tsitsikamma CMA'!F75,E_budgeted!F345),'Mzimvubu-Tsitsikamma CMA'!F75)</f>
        <v>0</v>
      </c>
      <c r="G273" s="32">
        <f>IF(INDEX(E_budgeted!$B$3:$G$13,MATCH($A273,E_budgeted!$A$3:$A$13,0),MATCH($A$239,E_budgeted!$B$2:$G$2,0))&gt;0,MIN('Mzimvubu-Tsitsikamma CMA'!G75,E_budgeted!G345),'Mzimvubu-Tsitsikamma CMA'!G75)</f>
        <v>0</v>
      </c>
      <c r="H273" s="32">
        <f>IF(INDEX(E_budgeted!$B$3:$G$13,MATCH($A273,E_budgeted!$A$3:$A$13,0),MATCH($A$239,E_budgeted!$B$2:$G$2,0))&gt;0,MIN('Mzimvubu-Tsitsikamma CMA'!H75,E_budgeted!H345),'Mzimvubu-Tsitsikamma CMA'!H75)</f>
        <v>0</v>
      </c>
      <c r="I273" s="32">
        <f>IF(INDEX(E_budgeted!$B$3:$G$13,MATCH($A273,E_budgeted!$A$3:$A$13,0),MATCH($A$239,E_budgeted!$B$2:$G$2,0))&gt;0,MIN('Mzimvubu-Tsitsikamma CMA'!I75,E_budgeted!I345),'Mzimvubu-Tsitsikamma CMA'!I75)</f>
        <v>0</v>
      </c>
      <c r="J273" s="32">
        <f>IF(INDEX(E_budgeted!$B$3:$G$13,MATCH($A273,E_budgeted!$A$3:$A$13,0),MATCH($A$239,E_budgeted!$B$2:$G$2,0))&gt;0,MIN('Mzimvubu-Tsitsikamma CMA'!J75,E_budgeted!J345),'Mzimvubu-Tsitsikamma CMA'!J75)</f>
        <v>0</v>
      </c>
      <c r="K273" s="32">
        <f>IF(INDEX(E_budgeted!$B$3:$G$13,MATCH($A273,E_budgeted!$A$3:$A$13,0),MATCH($A$239,E_budgeted!$B$2:$G$2,0))&gt;0,MIN('Mzimvubu-Tsitsikamma CMA'!K75,E_budgeted!K345),'Mzimvubu-Tsitsikamma CMA'!K75)</f>
        <v>0</v>
      </c>
      <c r="L273" s="5">
        <f t="shared" si="191"/>
        <v>0</v>
      </c>
    </row>
    <row r="274" spans="1:12" x14ac:dyDescent="0.25">
      <c r="A274" s="4" t="s">
        <v>124</v>
      </c>
      <c r="B274" s="32">
        <f>IF(INDEX(E_budgeted!$B$3:$G$13,MATCH($A274,E_budgeted!$A$3:$A$13,0),MATCH($A$239,E_budgeted!$B$2:$G$2,0))&gt;0,MIN('Mzimvubu-Tsitsikamma CMA'!B76,E_budgeted!B346),'Mzimvubu-Tsitsikamma CMA'!B76)</f>
        <v>300000</v>
      </c>
      <c r="C274" s="32">
        <f>IF(INDEX(E_budgeted!$B$3:$G$13,MATCH($A274,E_budgeted!$A$3:$A$13,0),MATCH($A$239,E_budgeted!$B$2:$G$2,0))&gt;0,MIN('Mzimvubu-Tsitsikamma CMA'!C76,E_budgeted!C346),'Mzimvubu-Tsitsikamma CMA'!C76)</f>
        <v>300000</v>
      </c>
      <c r="D274" s="32">
        <f>IF(INDEX(E_budgeted!$B$3:$G$13,MATCH($A274,E_budgeted!$A$3:$A$13,0),MATCH($A$239,E_budgeted!$B$2:$G$2,0))&gt;0,MIN('Mzimvubu-Tsitsikamma CMA'!D76,E_budgeted!D346),'Mzimvubu-Tsitsikamma CMA'!D76)</f>
        <v>300000</v>
      </c>
      <c r="E274" s="32">
        <f>IF(INDEX(E_budgeted!$B$3:$G$13,MATCH($A274,E_budgeted!$A$3:$A$13,0),MATCH($A$239,E_budgeted!$B$2:$G$2,0))&gt;0,MIN('Mzimvubu-Tsitsikamma CMA'!E76,E_budgeted!E346),'Mzimvubu-Tsitsikamma CMA'!E76)</f>
        <v>300000</v>
      </c>
      <c r="F274" s="32">
        <f>IF(INDEX(E_budgeted!$B$3:$G$13,MATCH($A274,E_budgeted!$A$3:$A$13,0),MATCH($A$239,E_budgeted!$B$2:$G$2,0))&gt;0,MIN('Mzimvubu-Tsitsikamma CMA'!F76,E_budgeted!F346),'Mzimvubu-Tsitsikamma CMA'!F76)</f>
        <v>300000</v>
      </c>
      <c r="G274" s="32">
        <f>IF(INDEX(E_budgeted!$B$3:$G$13,MATCH($A274,E_budgeted!$A$3:$A$13,0),MATCH($A$239,E_budgeted!$B$2:$G$2,0))&gt;0,MIN('Mzimvubu-Tsitsikamma CMA'!G76,E_budgeted!G346),'Mzimvubu-Tsitsikamma CMA'!G76)</f>
        <v>300000</v>
      </c>
      <c r="H274" s="32">
        <f>IF(INDEX(E_budgeted!$B$3:$G$13,MATCH($A274,E_budgeted!$A$3:$A$13,0),MATCH($A$239,E_budgeted!$B$2:$G$2,0))&gt;0,MIN('Mzimvubu-Tsitsikamma CMA'!H76,E_budgeted!H346),'Mzimvubu-Tsitsikamma CMA'!H76)</f>
        <v>300000</v>
      </c>
      <c r="I274" s="32">
        <f>IF(INDEX(E_budgeted!$B$3:$G$13,MATCH($A274,E_budgeted!$A$3:$A$13,0),MATCH($A$239,E_budgeted!$B$2:$G$2,0))&gt;0,MIN('Mzimvubu-Tsitsikamma CMA'!I76,E_budgeted!I346),'Mzimvubu-Tsitsikamma CMA'!I76)</f>
        <v>300000</v>
      </c>
      <c r="J274" s="32">
        <f>IF(INDEX(E_budgeted!$B$3:$G$13,MATCH($A274,E_budgeted!$A$3:$A$13,0),MATCH($A$239,E_budgeted!$B$2:$G$2,0))&gt;0,MIN('Mzimvubu-Tsitsikamma CMA'!J76,E_budgeted!J346),'Mzimvubu-Tsitsikamma CMA'!J76)</f>
        <v>300000</v>
      </c>
      <c r="K274" s="32">
        <f>IF(INDEX(E_budgeted!$B$3:$G$13,MATCH($A274,E_budgeted!$A$3:$A$13,0),MATCH($A$239,E_budgeted!$B$2:$G$2,0))&gt;0,MIN('Mzimvubu-Tsitsikamma CMA'!K76,E_budgeted!K346),'Mzimvubu-Tsitsikamma CMA'!K76)</f>
        <v>300000</v>
      </c>
      <c r="L274" s="5">
        <f t="shared" si="191"/>
        <v>300000</v>
      </c>
    </row>
    <row r="275" spans="1:12" x14ac:dyDescent="0.25">
      <c r="A275" s="4" t="s">
        <v>12</v>
      </c>
      <c r="B275" s="32">
        <f>IF(INDEX(E_budgeted!$B$3:$G$13,MATCH($A275,E_budgeted!$A$3:$A$13,0),MATCH($A$239,E_budgeted!$B$2:$G$2,0))&gt;0,MIN('Mzimvubu-Tsitsikamma CMA'!B77,E_budgeted!B347),'Mzimvubu-Tsitsikamma CMA'!B77)</f>
        <v>0</v>
      </c>
      <c r="C275" s="32">
        <f>IF(INDEX(E_budgeted!$B$3:$G$13,MATCH($A275,E_budgeted!$A$3:$A$13,0),MATCH($A$239,E_budgeted!$B$2:$G$2,0))&gt;0,MIN('Mzimvubu-Tsitsikamma CMA'!C77,E_budgeted!C347),'Mzimvubu-Tsitsikamma CMA'!C77)</f>
        <v>0</v>
      </c>
      <c r="D275" s="32">
        <f>IF(INDEX(E_budgeted!$B$3:$G$13,MATCH($A275,E_budgeted!$A$3:$A$13,0),MATCH($A$239,E_budgeted!$B$2:$G$2,0))&gt;0,MIN('Mzimvubu-Tsitsikamma CMA'!D77,E_budgeted!D347),'Mzimvubu-Tsitsikamma CMA'!D77)</f>
        <v>0</v>
      </c>
      <c r="E275" s="32">
        <f>IF(INDEX(E_budgeted!$B$3:$G$13,MATCH($A275,E_budgeted!$A$3:$A$13,0),MATCH($A$239,E_budgeted!$B$2:$G$2,0))&gt;0,MIN('Mzimvubu-Tsitsikamma CMA'!E77,E_budgeted!E347),'Mzimvubu-Tsitsikamma CMA'!E77)</f>
        <v>0</v>
      </c>
      <c r="F275" s="32">
        <f>IF(INDEX(E_budgeted!$B$3:$G$13,MATCH($A275,E_budgeted!$A$3:$A$13,0),MATCH($A$239,E_budgeted!$B$2:$G$2,0))&gt;0,MIN('Mzimvubu-Tsitsikamma CMA'!F77,E_budgeted!F347),'Mzimvubu-Tsitsikamma CMA'!F77)</f>
        <v>0</v>
      </c>
      <c r="G275" s="32">
        <f>IF(INDEX(E_budgeted!$B$3:$G$13,MATCH($A275,E_budgeted!$A$3:$A$13,0),MATCH($A$239,E_budgeted!$B$2:$G$2,0))&gt;0,MIN('Mzimvubu-Tsitsikamma CMA'!G77,E_budgeted!G347),'Mzimvubu-Tsitsikamma CMA'!G77)</f>
        <v>0</v>
      </c>
      <c r="H275" s="32">
        <f>IF(INDEX(E_budgeted!$B$3:$G$13,MATCH($A275,E_budgeted!$A$3:$A$13,0),MATCH($A$239,E_budgeted!$B$2:$G$2,0))&gt;0,MIN('Mzimvubu-Tsitsikamma CMA'!H77,E_budgeted!H347),'Mzimvubu-Tsitsikamma CMA'!H77)</f>
        <v>0</v>
      </c>
      <c r="I275" s="32">
        <f>IF(INDEX(E_budgeted!$B$3:$G$13,MATCH($A275,E_budgeted!$A$3:$A$13,0),MATCH($A$239,E_budgeted!$B$2:$G$2,0))&gt;0,MIN('Mzimvubu-Tsitsikamma CMA'!I77,E_budgeted!I347),'Mzimvubu-Tsitsikamma CMA'!I77)</f>
        <v>0</v>
      </c>
      <c r="J275" s="32">
        <f>IF(INDEX(E_budgeted!$B$3:$G$13,MATCH($A275,E_budgeted!$A$3:$A$13,0),MATCH($A$239,E_budgeted!$B$2:$G$2,0))&gt;0,MIN('Mzimvubu-Tsitsikamma CMA'!J77,E_budgeted!J347),'Mzimvubu-Tsitsikamma CMA'!J77)</f>
        <v>0</v>
      </c>
      <c r="K275" s="32">
        <f>IF(INDEX(E_budgeted!$B$3:$G$13,MATCH($A275,E_budgeted!$A$3:$A$13,0),MATCH($A$239,E_budgeted!$B$2:$G$2,0))&gt;0,MIN('Mzimvubu-Tsitsikamma CMA'!K77,E_budgeted!K347),'Mzimvubu-Tsitsikamma CMA'!K77)</f>
        <v>0</v>
      </c>
      <c r="L275" s="5">
        <f t="shared" si="191"/>
        <v>0</v>
      </c>
    </row>
    <row r="276" spans="1:12" x14ac:dyDescent="0.25">
      <c r="A276" s="4" t="s">
        <v>13</v>
      </c>
      <c r="B276" s="32">
        <f>IF(INDEX(E_budgeted!$B$3:$G$13,MATCH($A276,E_budgeted!$A$3:$A$13,0),MATCH($A$239,E_budgeted!$B$2:$G$2,0))&gt;0,MIN('Mzimvubu-Tsitsikamma CMA'!B78,E_budgeted!B348),'Mzimvubu-Tsitsikamma CMA'!B78)</f>
        <v>0</v>
      </c>
      <c r="C276" s="32">
        <f>IF(INDEX(E_budgeted!$B$3:$G$13,MATCH($A276,E_budgeted!$A$3:$A$13,0),MATCH($A$239,E_budgeted!$B$2:$G$2,0))&gt;0,MIN('Mzimvubu-Tsitsikamma CMA'!C78,E_budgeted!C348),'Mzimvubu-Tsitsikamma CMA'!C78)</f>
        <v>0</v>
      </c>
      <c r="D276" s="32">
        <f>IF(INDEX(E_budgeted!$B$3:$G$13,MATCH($A276,E_budgeted!$A$3:$A$13,0),MATCH($A$239,E_budgeted!$B$2:$G$2,0))&gt;0,MIN('Mzimvubu-Tsitsikamma CMA'!D78,E_budgeted!D348),'Mzimvubu-Tsitsikamma CMA'!D78)</f>
        <v>0</v>
      </c>
      <c r="E276" s="32">
        <f>IF(INDEX(E_budgeted!$B$3:$G$13,MATCH($A276,E_budgeted!$A$3:$A$13,0),MATCH($A$239,E_budgeted!$B$2:$G$2,0))&gt;0,MIN('Mzimvubu-Tsitsikamma CMA'!E78,E_budgeted!E348),'Mzimvubu-Tsitsikamma CMA'!E78)</f>
        <v>0</v>
      </c>
      <c r="F276" s="32">
        <f>IF(INDEX(E_budgeted!$B$3:$G$13,MATCH($A276,E_budgeted!$A$3:$A$13,0),MATCH($A$239,E_budgeted!$B$2:$G$2,0))&gt;0,MIN('Mzimvubu-Tsitsikamma CMA'!F78,E_budgeted!F348),'Mzimvubu-Tsitsikamma CMA'!F78)</f>
        <v>0</v>
      </c>
      <c r="G276" s="32">
        <f>IF(INDEX(E_budgeted!$B$3:$G$13,MATCH($A276,E_budgeted!$A$3:$A$13,0),MATCH($A$239,E_budgeted!$B$2:$G$2,0))&gt;0,MIN('Mzimvubu-Tsitsikamma CMA'!G78,E_budgeted!G348),'Mzimvubu-Tsitsikamma CMA'!G78)</f>
        <v>0</v>
      </c>
      <c r="H276" s="32">
        <f>IF(INDEX(E_budgeted!$B$3:$G$13,MATCH($A276,E_budgeted!$A$3:$A$13,0),MATCH($A$239,E_budgeted!$B$2:$G$2,0))&gt;0,MIN('Mzimvubu-Tsitsikamma CMA'!H78,E_budgeted!H348),'Mzimvubu-Tsitsikamma CMA'!H78)</f>
        <v>0</v>
      </c>
      <c r="I276" s="32">
        <f>IF(INDEX(E_budgeted!$B$3:$G$13,MATCH($A276,E_budgeted!$A$3:$A$13,0),MATCH($A$239,E_budgeted!$B$2:$G$2,0))&gt;0,MIN('Mzimvubu-Tsitsikamma CMA'!I78,E_budgeted!I348),'Mzimvubu-Tsitsikamma CMA'!I78)</f>
        <v>0</v>
      </c>
      <c r="J276" s="32">
        <f>IF(INDEX(E_budgeted!$B$3:$G$13,MATCH($A276,E_budgeted!$A$3:$A$13,0),MATCH($A$239,E_budgeted!$B$2:$G$2,0))&gt;0,MIN('Mzimvubu-Tsitsikamma CMA'!J78,E_budgeted!J348),'Mzimvubu-Tsitsikamma CMA'!J78)</f>
        <v>0</v>
      </c>
      <c r="K276" s="32">
        <f>IF(INDEX(E_budgeted!$B$3:$G$13,MATCH($A276,E_budgeted!$A$3:$A$13,0),MATCH($A$239,E_budgeted!$B$2:$G$2,0))&gt;0,MIN('Mzimvubu-Tsitsikamma CMA'!K78,E_budgeted!K348),'Mzimvubu-Tsitsikamma CMA'!K78)</f>
        <v>0</v>
      </c>
      <c r="L276" s="5">
        <f t="shared" si="191"/>
        <v>0</v>
      </c>
    </row>
    <row r="277" spans="1:12" x14ac:dyDescent="0.25">
      <c r="A277" s="4" t="s">
        <v>14</v>
      </c>
      <c r="B277" s="32">
        <f>IF(INDEX(E_budgeted!$B$3:$G$13,MATCH($A277,E_budgeted!$A$3:$A$13,0),MATCH($A$239,E_budgeted!$B$2:$G$2,0))&gt;0,MIN('Mzimvubu-Tsitsikamma CMA'!B79,E_budgeted!B349),'Mzimvubu-Tsitsikamma CMA'!B79)</f>
        <v>0</v>
      </c>
      <c r="C277" s="32">
        <f>IF(INDEX(E_budgeted!$B$3:$G$13,MATCH($A277,E_budgeted!$A$3:$A$13,0),MATCH($A$239,E_budgeted!$B$2:$G$2,0))&gt;0,MIN('Mzimvubu-Tsitsikamma CMA'!C79,E_budgeted!C349),'Mzimvubu-Tsitsikamma CMA'!C79)</f>
        <v>0</v>
      </c>
      <c r="D277" s="32">
        <f>IF(INDEX(E_budgeted!$B$3:$G$13,MATCH($A277,E_budgeted!$A$3:$A$13,0),MATCH($A$239,E_budgeted!$B$2:$G$2,0))&gt;0,MIN('Mzimvubu-Tsitsikamma CMA'!D79,E_budgeted!D349),'Mzimvubu-Tsitsikamma CMA'!D79)</f>
        <v>0</v>
      </c>
      <c r="E277" s="32">
        <f>IF(INDEX(E_budgeted!$B$3:$G$13,MATCH($A277,E_budgeted!$A$3:$A$13,0),MATCH($A$239,E_budgeted!$B$2:$G$2,0))&gt;0,MIN('Mzimvubu-Tsitsikamma CMA'!E79,E_budgeted!E349),'Mzimvubu-Tsitsikamma CMA'!E79)</f>
        <v>0</v>
      </c>
      <c r="F277" s="32">
        <f>IF(INDEX(E_budgeted!$B$3:$G$13,MATCH($A277,E_budgeted!$A$3:$A$13,0),MATCH($A$239,E_budgeted!$B$2:$G$2,0))&gt;0,MIN('Mzimvubu-Tsitsikamma CMA'!F79,E_budgeted!F349),'Mzimvubu-Tsitsikamma CMA'!F79)</f>
        <v>0</v>
      </c>
      <c r="G277" s="32">
        <f>IF(INDEX(E_budgeted!$B$3:$G$13,MATCH($A277,E_budgeted!$A$3:$A$13,0),MATCH($A$239,E_budgeted!$B$2:$G$2,0))&gt;0,MIN('Mzimvubu-Tsitsikamma CMA'!G79,E_budgeted!G349),'Mzimvubu-Tsitsikamma CMA'!G79)</f>
        <v>0</v>
      </c>
      <c r="H277" s="32">
        <f>IF(INDEX(E_budgeted!$B$3:$G$13,MATCH($A277,E_budgeted!$A$3:$A$13,0),MATCH($A$239,E_budgeted!$B$2:$G$2,0))&gt;0,MIN('Mzimvubu-Tsitsikamma CMA'!H79,E_budgeted!H349),'Mzimvubu-Tsitsikamma CMA'!H79)</f>
        <v>0</v>
      </c>
      <c r="I277" s="32">
        <f>IF(INDEX(E_budgeted!$B$3:$G$13,MATCH($A277,E_budgeted!$A$3:$A$13,0),MATCH($A$239,E_budgeted!$B$2:$G$2,0))&gt;0,MIN('Mzimvubu-Tsitsikamma CMA'!I79,E_budgeted!I349),'Mzimvubu-Tsitsikamma CMA'!I79)</f>
        <v>0</v>
      </c>
      <c r="J277" s="32">
        <f>IF(INDEX(E_budgeted!$B$3:$G$13,MATCH($A277,E_budgeted!$A$3:$A$13,0),MATCH($A$239,E_budgeted!$B$2:$G$2,0))&gt;0,MIN('Mzimvubu-Tsitsikamma CMA'!J79,E_budgeted!J349),'Mzimvubu-Tsitsikamma CMA'!J79)</f>
        <v>0</v>
      </c>
      <c r="K277" s="32">
        <f>IF(INDEX(E_budgeted!$B$3:$G$13,MATCH($A277,E_budgeted!$A$3:$A$13,0),MATCH($A$239,E_budgeted!$B$2:$G$2,0))&gt;0,MIN('Mzimvubu-Tsitsikamma CMA'!K79,E_budgeted!K349),'Mzimvubu-Tsitsikamma CMA'!K79)</f>
        <v>0</v>
      </c>
      <c r="L277" s="5">
        <f t="shared" si="191"/>
        <v>0</v>
      </c>
    </row>
    <row r="278" spans="1:12" x14ac:dyDescent="0.25">
      <c r="A278" s="4" t="s">
        <v>125</v>
      </c>
      <c r="B278" s="32">
        <f>IF(INDEX(E_budgeted!$B$3:$G$13,MATCH($A278,E_budgeted!$A$3:$A$13,0),MATCH($A$239,E_budgeted!$B$2:$G$2,0))&gt;0,MIN('Mzimvubu-Tsitsikamma CMA'!B80,E_budgeted!B350),'Mzimvubu-Tsitsikamma CMA'!B80)</f>
        <v>383776.78439959243</v>
      </c>
      <c r="C278" s="32">
        <f>IF(INDEX(E_budgeted!$B$3:$G$13,MATCH($A278,E_budgeted!$A$3:$A$13,0),MATCH($A$239,E_budgeted!$B$2:$G$2,0))&gt;0,MIN('Mzimvubu-Tsitsikamma CMA'!C80,E_budgeted!C350),'Mzimvubu-Tsitsikamma CMA'!C80)</f>
        <v>383776.78439959243</v>
      </c>
      <c r="D278" s="32">
        <f>IF(INDEX(E_budgeted!$B$3:$G$13,MATCH($A278,E_budgeted!$A$3:$A$13,0),MATCH($A$239,E_budgeted!$B$2:$G$2,0))&gt;0,MIN('Mzimvubu-Tsitsikamma CMA'!D80,E_budgeted!D350),'Mzimvubu-Tsitsikamma CMA'!D80)</f>
        <v>383776.78439959243</v>
      </c>
      <c r="E278" s="32">
        <f>IF(INDEX(E_budgeted!$B$3:$G$13,MATCH($A278,E_budgeted!$A$3:$A$13,0),MATCH($A$239,E_budgeted!$B$2:$G$2,0))&gt;0,MIN('Mzimvubu-Tsitsikamma CMA'!E80,E_budgeted!E350),'Mzimvubu-Tsitsikamma CMA'!E80)</f>
        <v>383776.78439959243</v>
      </c>
      <c r="F278" s="32">
        <f>IF(INDEX(E_budgeted!$B$3:$G$13,MATCH($A278,E_budgeted!$A$3:$A$13,0),MATCH($A$239,E_budgeted!$B$2:$G$2,0))&gt;0,MIN('Mzimvubu-Tsitsikamma CMA'!F80,E_budgeted!F350),'Mzimvubu-Tsitsikamma CMA'!F80)</f>
        <v>383776.78439959243</v>
      </c>
      <c r="G278" s="32">
        <f>IF(INDEX(E_budgeted!$B$3:$G$13,MATCH($A278,E_budgeted!$A$3:$A$13,0),MATCH($A$239,E_budgeted!$B$2:$G$2,0))&gt;0,MIN('Mzimvubu-Tsitsikamma CMA'!G80,E_budgeted!G350),'Mzimvubu-Tsitsikamma CMA'!G80)</f>
        <v>383776.78439959243</v>
      </c>
      <c r="H278" s="32">
        <f>IF(INDEX(E_budgeted!$B$3:$G$13,MATCH($A278,E_budgeted!$A$3:$A$13,0),MATCH($A$239,E_budgeted!$B$2:$G$2,0))&gt;0,MIN('Mzimvubu-Tsitsikamma CMA'!H80,E_budgeted!H350),'Mzimvubu-Tsitsikamma CMA'!H80)</f>
        <v>383776.78439959243</v>
      </c>
      <c r="I278" s="32">
        <f>IF(INDEX(E_budgeted!$B$3:$G$13,MATCH($A278,E_budgeted!$A$3:$A$13,0),MATCH($A$239,E_budgeted!$B$2:$G$2,0))&gt;0,MIN('Mzimvubu-Tsitsikamma CMA'!I80,E_budgeted!I350),'Mzimvubu-Tsitsikamma CMA'!I80)</f>
        <v>383776.78439959243</v>
      </c>
      <c r="J278" s="32">
        <f>IF(INDEX(E_budgeted!$B$3:$G$13,MATCH($A278,E_budgeted!$A$3:$A$13,0),MATCH($A$239,E_budgeted!$B$2:$G$2,0))&gt;0,MIN('Mzimvubu-Tsitsikamma CMA'!J80,E_budgeted!J350),'Mzimvubu-Tsitsikamma CMA'!J80)</f>
        <v>383776.78439959243</v>
      </c>
      <c r="K278" s="32">
        <f>IF(INDEX(E_budgeted!$B$3:$G$13,MATCH($A278,E_budgeted!$A$3:$A$13,0),MATCH($A$239,E_budgeted!$B$2:$G$2,0))&gt;0,MIN('Mzimvubu-Tsitsikamma CMA'!K80,E_budgeted!K350),'Mzimvubu-Tsitsikamma CMA'!K80)</f>
        <v>383776.78439959243</v>
      </c>
      <c r="L278" s="5">
        <f t="shared" si="191"/>
        <v>383776.78439959238</v>
      </c>
    </row>
    <row r="279" spans="1:12" x14ac:dyDescent="0.25">
      <c r="A279" s="4" t="s">
        <v>37</v>
      </c>
      <c r="B279" s="32">
        <f>IF(INDEX(E_budgeted!$B$3:$G$13,MATCH($A279,E_budgeted!$A$3:$A$13,0),MATCH($A$239,E_budgeted!$B$2:$G$2,0))&gt;0,MIN('Mzimvubu-Tsitsikamma CMA'!B81,E_budgeted!B351),'Mzimvubu-Tsitsikamma CMA'!B81)</f>
        <v>8000192.844944044</v>
      </c>
      <c r="C279" s="32">
        <f>IF(INDEX(E_budgeted!$B$3:$G$13,MATCH($A279,E_budgeted!$A$3:$A$13,0),MATCH($A$239,E_budgeted!$B$2:$G$2,0))&gt;0,MIN('Mzimvubu-Tsitsikamma CMA'!C81,E_budgeted!C351),'Mzimvubu-Tsitsikamma CMA'!C81)</f>
        <v>8000192.844944044</v>
      </c>
      <c r="D279" s="32">
        <f>IF(INDEX(E_budgeted!$B$3:$G$13,MATCH($A279,E_budgeted!$A$3:$A$13,0),MATCH($A$239,E_budgeted!$B$2:$G$2,0))&gt;0,MIN('Mzimvubu-Tsitsikamma CMA'!D81,E_budgeted!D351),'Mzimvubu-Tsitsikamma CMA'!D81)</f>
        <v>8000192.844944044</v>
      </c>
      <c r="E279" s="32">
        <f>IF(INDEX(E_budgeted!$B$3:$G$13,MATCH($A279,E_budgeted!$A$3:$A$13,0),MATCH($A$239,E_budgeted!$B$2:$G$2,0))&gt;0,MIN('Mzimvubu-Tsitsikamma CMA'!E81,E_budgeted!E351),'Mzimvubu-Tsitsikamma CMA'!E81)</f>
        <v>8000192.844944044</v>
      </c>
      <c r="F279" s="32">
        <f>IF(INDEX(E_budgeted!$B$3:$G$13,MATCH($A279,E_budgeted!$A$3:$A$13,0),MATCH($A$239,E_budgeted!$B$2:$G$2,0))&gt;0,MIN('Mzimvubu-Tsitsikamma CMA'!F81,E_budgeted!F351),'Mzimvubu-Tsitsikamma CMA'!F81)</f>
        <v>8000192.844944044</v>
      </c>
      <c r="G279" s="32">
        <f>IF(INDEX(E_budgeted!$B$3:$G$13,MATCH($A279,E_budgeted!$A$3:$A$13,0),MATCH($A$239,E_budgeted!$B$2:$G$2,0))&gt;0,MIN('Mzimvubu-Tsitsikamma CMA'!G81,E_budgeted!G351),'Mzimvubu-Tsitsikamma CMA'!G81)</f>
        <v>8000192.844944044</v>
      </c>
      <c r="H279" s="32">
        <f>IF(INDEX(E_budgeted!$B$3:$G$13,MATCH($A279,E_budgeted!$A$3:$A$13,0),MATCH($A$239,E_budgeted!$B$2:$G$2,0))&gt;0,MIN('Mzimvubu-Tsitsikamma CMA'!H81,E_budgeted!H351),'Mzimvubu-Tsitsikamma CMA'!H81)</f>
        <v>8000192.844944044</v>
      </c>
      <c r="I279" s="32">
        <f>IF(INDEX(E_budgeted!$B$3:$G$13,MATCH($A279,E_budgeted!$A$3:$A$13,0),MATCH($A$239,E_budgeted!$B$2:$G$2,0))&gt;0,MIN('Mzimvubu-Tsitsikamma CMA'!I81,E_budgeted!I351),'Mzimvubu-Tsitsikamma CMA'!I81)</f>
        <v>8000192.844944044</v>
      </c>
      <c r="J279" s="32">
        <f>IF(INDEX(E_budgeted!$B$3:$G$13,MATCH($A279,E_budgeted!$A$3:$A$13,0),MATCH($A$239,E_budgeted!$B$2:$G$2,0))&gt;0,MIN('Mzimvubu-Tsitsikamma CMA'!J81,E_budgeted!J351),'Mzimvubu-Tsitsikamma CMA'!J81)</f>
        <v>8000192.844944044</v>
      </c>
      <c r="K279" s="32">
        <f>IF(INDEX(E_budgeted!$B$3:$G$13,MATCH($A279,E_budgeted!$A$3:$A$13,0),MATCH($A$239,E_budgeted!$B$2:$G$2,0))&gt;0,MIN('Mzimvubu-Tsitsikamma CMA'!K81,E_budgeted!K351),'Mzimvubu-Tsitsikamma CMA'!K81)</f>
        <v>8000192.844944044</v>
      </c>
      <c r="L279" s="5">
        <f t="shared" si="191"/>
        <v>8000192.8449440431</v>
      </c>
    </row>
    <row r="280" spans="1:12" x14ac:dyDescent="0.25">
      <c r="A280" s="4" t="s">
        <v>38</v>
      </c>
      <c r="B280" s="32">
        <f>IF(INDEX(E_budgeted!$B$3:$G$13,MATCH($A280,E_budgeted!$A$3:$A$13,0),MATCH($A$239,E_budgeted!$B$2:$G$2,0))&gt;0,MIN('Mzimvubu-Tsitsikamma CMA'!B82,E_budgeted!B352),'Mzimvubu-Tsitsikamma CMA'!B82)</f>
        <v>0</v>
      </c>
      <c r="C280" s="32">
        <f>IF(INDEX(E_budgeted!$B$3:$G$13,MATCH($A280,E_budgeted!$A$3:$A$13,0),MATCH($A$239,E_budgeted!$B$2:$G$2,0))&gt;0,MIN('Mzimvubu-Tsitsikamma CMA'!C82,E_budgeted!C352),'Mzimvubu-Tsitsikamma CMA'!C82)</f>
        <v>0</v>
      </c>
      <c r="D280" s="32">
        <f>IF(INDEX(E_budgeted!$B$3:$G$13,MATCH($A280,E_budgeted!$A$3:$A$13,0),MATCH($A$239,E_budgeted!$B$2:$G$2,0))&gt;0,MIN('Mzimvubu-Tsitsikamma CMA'!D82,E_budgeted!D352),'Mzimvubu-Tsitsikamma CMA'!D82)</f>
        <v>0</v>
      </c>
      <c r="E280" s="32">
        <f>IF(INDEX(E_budgeted!$B$3:$G$13,MATCH($A280,E_budgeted!$A$3:$A$13,0),MATCH($A$239,E_budgeted!$B$2:$G$2,0))&gt;0,MIN('Mzimvubu-Tsitsikamma CMA'!E82,E_budgeted!E352),'Mzimvubu-Tsitsikamma CMA'!E82)</f>
        <v>0</v>
      </c>
      <c r="F280" s="32">
        <f>IF(INDEX(E_budgeted!$B$3:$G$13,MATCH($A280,E_budgeted!$A$3:$A$13,0),MATCH($A$239,E_budgeted!$B$2:$G$2,0))&gt;0,MIN('Mzimvubu-Tsitsikamma CMA'!F82,E_budgeted!F352),'Mzimvubu-Tsitsikamma CMA'!F82)</f>
        <v>0</v>
      </c>
      <c r="G280" s="32">
        <f>IF(INDEX(E_budgeted!$B$3:$G$13,MATCH($A280,E_budgeted!$A$3:$A$13,0),MATCH($A$239,E_budgeted!$B$2:$G$2,0))&gt;0,MIN('Mzimvubu-Tsitsikamma CMA'!G82,E_budgeted!G352),'Mzimvubu-Tsitsikamma CMA'!G82)</f>
        <v>0</v>
      </c>
      <c r="H280" s="32">
        <f>IF(INDEX(E_budgeted!$B$3:$G$13,MATCH($A280,E_budgeted!$A$3:$A$13,0),MATCH($A$239,E_budgeted!$B$2:$G$2,0))&gt;0,MIN('Mzimvubu-Tsitsikamma CMA'!H82,E_budgeted!H352),'Mzimvubu-Tsitsikamma CMA'!H82)</f>
        <v>0</v>
      </c>
      <c r="I280" s="32">
        <f>IF(INDEX(E_budgeted!$B$3:$G$13,MATCH($A280,E_budgeted!$A$3:$A$13,0),MATCH($A$239,E_budgeted!$B$2:$G$2,0))&gt;0,MIN('Mzimvubu-Tsitsikamma CMA'!I82,E_budgeted!I352),'Mzimvubu-Tsitsikamma CMA'!I82)</f>
        <v>0</v>
      </c>
      <c r="J280" s="32">
        <f>IF(INDEX(E_budgeted!$B$3:$G$13,MATCH($A280,E_budgeted!$A$3:$A$13,0),MATCH($A$239,E_budgeted!$B$2:$G$2,0))&gt;0,MIN('Mzimvubu-Tsitsikamma CMA'!J82,E_budgeted!J352),'Mzimvubu-Tsitsikamma CMA'!J82)</f>
        <v>0</v>
      </c>
      <c r="K280" s="32">
        <f>IF(INDEX(E_budgeted!$B$3:$G$13,MATCH($A280,E_budgeted!$A$3:$A$13,0),MATCH($A$239,E_budgeted!$B$2:$G$2,0))&gt;0,MIN('Mzimvubu-Tsitsikamma CMA'!K82,E_budgeted!K352),'Mzimvubu-Tsitsikamma CMA'!K82)</f>
        <v>0</v>
      </c>
      <c r="L280" s="5">
        <f t="shared" si="191"/>
        <v>0</v>
      </c>
    </row>
    <row r="281" spans="1:12" x14ac:dyDescent="0.25">
      <c r="A281" s="4" t="s">
        <v>15</v>
      </c>
      <c r="B281" s="13">
        <f>IF(INDEX(E_budgeted!$B$3:$G$13,MATCH($A281,E_budgeted!$A$3:$A$13,0),MATCH($A$239,E_budgeted!$B$2:$G$2,0))&gt;0,MIN('Mzimvubu-Tsitsikamma CMA'!B83,E_budgeted!B353),'Mzimvubu-Tsitsikamma CMA'!B83)</f>
        <v>4315640.626278759</v>
      </c>
      <c r="C281" s="13">
        <f>IF(INDEX(E_budgeted!$B$3:$G$13,MATCH($A281,E_budgeted!$A$3:$A$13,0),MATCH($A$239,E_budgeted!$B$2:$G$2,0))&gt;0,MIN('Mzimvubu-Tsitsikamma CMA'!C83,E_budgeted!C353),'Mzimvubu-Tsitsikamma CMA'!C83)</f>
        <v>4315640.626278759</v>
      </c>
      <c r="D281" s="13">
        <f>IF(INDEX(E_budgeted!$B$3:$G$13,MATCH($A281,E_budgeted!$A$3:$A$13,0),MATCH($A$239,E_budgeted!$B$2:$G$2,0))&gt;0,MIN('Mzimvubu-Tsitsikamma CMA'!D83,E_budgeted!D353),'Mzimvubu-Tsitsikamma CMA'!D83)</f>
        <v>4315640.626278759</v>
      </c>
      <c r="E281" s="13">
        <f>IF(INDEX(E_budgeted!$B$3:$G$13,MATCH($A281,E_budgeted!$A$3:$A$13,0),MATCH($A$239,E_budgeted!$B$2:$G$2,0))&gt;0,MIN('Mzimvubu-Tsitsikamma CMA'!E83,E_budgeted!E353),'Mzimvubu-Tsitsikamma CMA'!E83)</f>
        <v>4315640.626278759</v>
      </c>
      <c r="F281" s="13">
        <f>IF(INDEX(E_budgeted!$B$3:$G$13,MATCH($A281,E_budgeted!$A$3:$A$13,0),MATCH($A$239,E_budgeted!$B$2:$G$2,0))&gt;0,MIN('Mzimvubu-Tsitsikamma CMA'!F83,E_budgeted!F353),'Mzimvubu-Tsitsikamma CMA'!F83)</f>
        <v>4315640.626278759</v>
      </c>
      <c r="G281" s="13">
        <f>IF(INDEX(E_budgeted!$B$3:$G$13,MATCH($A281,E_budgeted!$A$3:$A$13,0),MATCH($A$239,E_budgeted!$B$2:$G$2,0))&gt;0,MIN('Mzimvubu-Tsitsikamma CMA'!G83,E_budgeted!G353),'Mzimvubu-Tsitsikamma CMA'!G83)</f>
        <v>4315640.626278759</v>
      </c>
      <c r="H281" s="13">
        <f>IF(INDEX(E_budgeted!$B$3:$G$13,MATCH($A281,E_budgeted!$A$3:$A$13,0),MATCH($A$239,E_budgeted!$B$2:$G$2,0))&gt;0,MIN('Mzimvubu-Tsitsikamma CMA'!H83,E_budgeted!H353),'Mzimvubu-Tsitsikamma CMA'!H83)</f>
        <v>4315640.626278759</v>
      </c>
      <c r="I281" s="13">
        <f>IF(INDEX(E_budgeted!$B$3:$G$13,MATCH($A281,E_budgeted!$A$3:$A$13,0),MATCH($A$239,E_budgeted!$B$2:$G$2,0))&gt;0,MIN('Mzimvubu-Tsitsikamma CMA'!I83,E_budgeted!I353),'Mzimvubu-Tsitsikamma CMA'!I83)</f>
        <v>4315640.626278759</v>
      </c>
      <c r="J281" s="13">
        <f>IF(INDEX(E_budgeted!$B$3:$G$13,MATCH($A281,E_budgeted!$A$3:$A$13,0),MATCH($A$239,E_budgeted!$B$2:$G$2,0))&gt;0,MIN('Mzimvubu-Tsitsikamma CMA'!J83,E_budgeted!J353),'Mzimvubu-Tsitsikamma CMA'!J83)</f>
        <v>4315640.626278759</v>
      </c>
      <c r="K281" s="13">
        <f>IF(INDEX(E_budgeted!$B$3:$G$13,MATCH($A281,E_budgeted!$A$3:$A$13,0),MATCH($A$239,E_budgeted!$B$2:$G$2,0))&gt;0,MIN('Mzimvubu-Tsitsikamma CMA'!K83,E_budgeted!K353),'Mzimvubu-Tsitsikamma CMA'!K83)</f>
        <v>4315640.626278759</v>
      </c>
      <c r="L281" s="5">
        <f t="shared" si="191"/>
        <v>4315640.626278759</v>
      </c>
    </row>
    <row r="282" spans="1:12" x14ac:dyDescent="0.25">
      <c r="B282" s="5">
        <f>SUM(B271:B281)</f>
        <v>16833082.214453667</v>
      </c>
      <c r="C282" s="5">
        <f t="shared" ref="C282:K282" si="192">SUM(C271:C281)</f>
        <v>16833082.214453667</v>
      </c>
      <c r="D282" s="5">
        <f t="shared" si="192"/>
        <v>16833082.214453667</v>
      </c>
      <c r="E282" s="5">
        <f t="shared" si="192"/>
        <v>16833082.214453667</v>
      </c>
      <c r="F282" s="5">
        <f t="shared" si="192"/>
        <v>16833082.214453667</v>
      </c>
      <c r="G282" s="5">
        <f t="shared" si="192"/>
        <v>16833082.214453667</v>
      </c>
      <c r="H282" s="5">
        <f t="shared" si="192"/>
        <v>16833082.214453667</v>
      </c>
      <c r="I282" s="5">
        <f t="shared" si="192"/>
        <v>16833082.214453667</v>
      </c>
      <c r="J282" s="5">
        <f t="shared" si="192"/>
        <v>16833082.214453667</v>
      </c>
      <c r="K282" s="5">
        <f t="shared" si="192"/>
        <v>16833082.214453667</v>
      </c>
      <c r="L282" s="5"/>
    </row>
    <row r="283" spans="1:12" x14ac:dyDescent="0.25">
      <c r="B283" s="16">
        <f>B282/$B$253</f>
        <v>0.24809547255319497</v>
      </c>
    </row>
    <row r="284" spans="1:12" ht="30" x14ac:dyDescent="0.25">
      <c r="A284" s="15" t="s">
        <v>94</v>
      </c>
      <c r="B284" s="12" t="str">
        <f>'Summary dashboard'!C4</f>
        <v>2023</v>
      </c>
      <c r="C284" s="12">
        <f t="shared" ref="C284" si="193">B284+1</f>
        <v>2024</v>
      </c>
      <c r="D284" s="12">
        <f t="shared" ref="D284" si="194">C284+1</f>
        <v>2025</v>
      </c>
      <c r="E284" s="12">
        <f t="shared" ref="E284" si="195">D284+1</f>
        <v>2026</v>
      </c>
      <c r="F284" s="12">
        <f t="shared" ref="F284" si="196">E284+1</f>
        <v>2027</v>
      </c>
      <c r="G284" s="12">
        <f t="shared" ref="G284" si="197">F284+1</f>
        <v>2028</v>
      </c>
      <c r="H284" s="12">
        <f t="shared" ref="H284" si="198">G284+1</f>
        <v>2029</v>
      </c>
      <c r="I284" s="12">
        <f t="shared" ref="I284" si="199">H284+1</f>
        <v>2030</v>
      </c>
      <c r="J284" s="12">
        <f t="shared" ref="J284" si="200">I284+1</f>
        <v>2031</v>
      </c>
      <c r="K284" s="12">
        <f t="shared" ref="K284" si="201">J284+1</f>
        <v>2032</v>
      </c>
      <c r="L284" s="1" t="s">
        <v>28</v>
      </c>
    </row>
    <row r="285" spans="1:12" x14ac:dyDescent="0.25">
      <c r="A285" s="4" t="s">
        <v>35</v>
      </c>
      <c r="B285" s="32">
        <f>IF(INDEX(E_budgeted!$B$3:$G$13,MATCH($A285,E_budgeted!$A$3:$A$13,0),MATCH($A$239,E_budgeted!$B$2:$G$2,0))&gt;0,MIN('Mzimvubu-Tsitsikamma CMA'!B87,E_budgeted!B357),'Mzimvubu-Tsitsikamma CMA'!B87)</f>
        <v>4110676.7216818021</v>
      </c>
      <c r="C285" s="32">
        <f>IF(INDEX(E_budgeted!$B$3:$G$13,MATCH($A285,E_budgeted!$A$3:$A$13,0),MATCH($A$239,E_budgeted!$B$2:$G$2,0))&gt;0,MIN('Mzimvubu-Tsitsikamma CMA'!C87,E_budgeted!C357),'Mzimvubu-Tsitsikamma CMA'!C87)</f>
        <v>4110676.7216818021</v>
      </c>
      <c r="D285" s="32">
        <f>IF(INDEX(E_budgeted!$B$3:$G$13,MATCH($A285,E_budgeted!$A$3:$A$13,0),MATCH($A$239,E_budgeted!$B$2:$G$2,0))&gt;0,MIN('Mzimvubu-Tsitsikamma CMA'!D87,E_budgeted!D357),'Mzimvubu-Tsitsikamma CMA'!D87)</f>
        <v>4110676.7216818021</v>
      </c>
      <c r="E285" s="32">
        <f>IF(INDEX(E_budgeted!$B$3:$G$13,MATCH($A285,E_budgeted!$A$3:$A$13,0),MATCH($A$239,E_budgeted!$B$2:$G$2,0))&gt;0,MIN('Mzimvubu-Tsitsikamma CMA'!E87,E_budgeted!E357),'Mzimvubu-Tsitsikamma CMA'!E87)</f>
        <v>4110676.7216818021</v>
      </c>
      <c r="F285" s="32">
        <f>IF(INDEX(E_budgeted!$B$3:$G$13,MATCH($A285,E_budgeted!$A$3:$A$13,0),MATCH($A$239,E_budgeted!$B$2:$G$2,0))&gt;0,MIN('Mzimvubu-Tsitsikamma CMA'!F87,E_budgeted!F357),'Mzimvubu-Tsitsikamma CMA'!F87)</f>
        <v>4110676.7216818021</v>
      </c>
      <c r="G285" s="32">
        <f>IF(INDEX(E_budgeted!$B$3:$G$13,MATCH($A285,E_budgeted!$A$3:$A$13,0),MATCH($A$239,E_budgeted!$B$2:$G$2,0))&gt;0,MIN('Mzimvubu-Tsitsikamma CMA'!G87,E_budgeted!G357),'Mzimvubu-Tsitsikamma CMA'!G87)</f>
        <v>4110676.7216818021</v>
      </c>
      <c r="H285" s="32">
        <f>IF(INDEX(E_budgeted!$B$3:$G$13,MATCH($A285,E_budgeted!$A$3:$A$13,0),MATCH($A$239,E_budgeted!$B$2:$G$2,0))&gt;0,MIN('Mzimvubu-Tsitsikamma CMA'!H87,E_budgeted!H357),'Mzimvubu-Tsitsikamma CMA'!H87)</f>
        <v>4110676.7216818021</v>
      </c>
      <c r="I285" s="32">
        <f>IF(INDEX(E_budgeted!$B$3:$G$13,MATCH($A285,E_budgeted!$A$3:$A$13,0),MATCH($A$239,E_budgeted!$B$2:$G$2,0))&gt;0,MIN('Mzimvubu-Tsitsikamma CMA'!I87,E_budgeted!I357),'Mzimvubu-Tsitsikamma CMA'!I87)</f>
        <v>4110676.7216818021</v>
      </c>
      <c r="J285" s="32">
        <f>IF(INDEX(E_budgeted!$B$3:$G$13,MATCH($A285,E_budgeted!$A$3:$A$13,0),MATCH($A$239,E_budgeted!$B$2:$G$2,0))&gt;0,MIN('Mzimvubu-Tsitsikamma CMA'!J87,E_budgeted!J357),'Mzimvubu-Tsitsikamma CMA'!J87)</f>
        <v>4110676.7216818021</v>
      </c>
      <c r="K285" s="32">
        <f>IF(INDEX(E_budgeted!$B$3:$G$13,MATCH($A285,E_budgeted!$A$3:$A$13,0),MATCH($A$239,E_budgeted!$B$2:$G$2,0))&gt;0,MIN('Mzimvubu-Tsitsikamma CMA'!K87,E_budgeted!K357),'Mzimvubu-Tsitsikamma CMA'!K87)</f>
        <v>4110676.7216818021</v>
      </c>
      <c r="L285" s="5">
        <f>AVERAGE(B285:K285)</f>
        <v>4110676.7216818025</v>
      </c>
    </row>
    <row r="286" spans="1:12" x14ac:dyDescent="0.25">
      <c r="A286" s="4" t="s">
        <v>36</v>
      </c>
      <c r="B286" s="32">
        <f>IF(INDEX(E_budgeted!$B$3:$G$13,MATCH($A286,E_budgeted!$A$3:$A$13,0),MATCH($A$239,E_budgeted!$B$2:$G$2,0))&gt;0,MIN('Mzimvubu-Tsitsikamma CMA'!B88,E_budgeted!B358),'Mzimvubu-Tsitsikamma CMA'!B88)</f>
        <v>672658.15241291339</v>
      </c>
      <c r="C286" s="32">
        <f>IF(INDEX(E_budgeted!$B$3:$G$13,MATCH($A286,E_budgeted!$A$3:$A$13,0),MATCH($A$239,E_budgeted!$B$2:$G$2,0))&gt;0,MIN('Mzimvubu-Tsitsikamma CMA'!C88,E_budgeted!C358),'Mzimvubu-Tsitsikamma CMA'!C88)</f>
        <v>672658.15241291339</v>
      </c>
      <c r="D286" s="32">
        <f>IF(INDEX(E_budgeted!$B$3:$G$13,MATCH($A286,E_budgeted!$A$3:$A$13,0),MATCH($A$239,E_budgeted!$B$2:$G$2,0))&gt;0,MIN('Mzimvubu-Tsitsikamma CMA'!D88,E_budgeted!D358),'Mzimvubu-Tsitsikamma CMA'!D88)</f>
        <v>672658.15241291339</v>
      </c>
      <c r="E286" s="32">
        <f>IF(INDEX(E_budgeted!$B$3:$G$13,MATCH($A286,E_budgeted!$A$3:$A$13,0),MATCH($A$239,E_budgeted!$B$2:$G$2,0))&gt;0,MIN('Mzimvubu-Tsitsikamma CMA'!E88,E_budgeted!E358),'Mzimvubu-Tsitsikamma CMA'!E88)</f>
        <v>672658.15241291339</v>
      </c>
      <c r="F286" s="32">
        <f>IF(INDEX(E_budgeted!$B$3:$G$13,MATCH($A286,E_budgeted!$A$3:$A$13,0),MATCH($A$239,E_budgeted!$B$2:$G$2,0))&gt;0,MIN('Mzimvubu-Tsitsikamma CMA'!F88,E_budgeted!F358),'Mzimvubu-Tsitsikamma CMA'!F88)</f>
        <v>672658.15241291339</v>
      </c>
      <c r="G286" s="32">
        <f>IF(INDEX(E_budgeted!$B$3:$G$13,MATCH($A286,E_budgeted!$A$3:$A$13,0),MATCH($A$239,E_budgeted!$B$2:$G$2,0))&gt;0,MIN('Mzimvubu-Tsitsikamma CMA'!G88,E_budgeted!G358),'Mzimvubu-Tsitsikamma CMA'!G88)</f>
        <v>672658.15241291339</v>
      </c>
      <c r="H286" s="32">
        <f>IF(INDEX(E_budgeted!$B$3:$G$13,MATCH($A286,E_budgeted!$A$3:$A$13,0),MATCH($A$239,E_budgeted!$B$2:$G$2,0))&gt;0,MIN('Mzimvubu-Tsitsikamma CMA'!H88,E_budgeted!H358),'Mzimvubu-Tsitsikamma CMA'!H88)</f>
        <v>672658.15241291339</v>
      </c>
      <c r="I286" s="32">
        <f>IF(INDEX(E_budgeted!$B$3:$G$13,MATCH($A286,E_budgeted!$A$3:$A$13,0),MATCH($A$239,E_budgeted!$B$2:$G$2,0))&gt;0,MIN('Mzimvubu-Tsitsikamma CMA'!I88,E_budgeted!I358),'Mzimvubu-Tsitsikamma CMA'!I88)</f>
        <v>672658.15241291339</v>
      </c>
      <c r="J286" s="32">
        <f>IF(INDEX(E_budgeted!$B$3:$G$13,MATCH($A286,E_budgeted!$A$3:$A$13,0),MATCH($A$239,E_budgeted!$B$2:$G$2,0))&gt;0,MIN('Mzimvubu-Tsitsikamma CMA'!J88,E_budgeted!J358),'Mzimvubu-Tsitsikamma CMA'!J88)</f>
        <v>672658.15241291339</v>
      </c>
      <c r="K286" s="32">
        <f>IF(INDEX(E_budgeted!$B$3:$G$13,MATCH($A286,E_budgeted!$A$3:$A$13,0),MATCH($A$239,E_budgeted!$B$2:$G$2,0))&gt;0,MIN('Mzimvubu-Tsitsikamma CMA'!K88,E_budgeted!K358),'Mzimvubu-Tsitsikamma CMA'!K88)</f>
        <v>672658.15241291339</v>
      </c>
      <c r="L286" s="5">
        <f t="shared" ref="L286:L295" si="202">AVERAGE(B286:K286)</f>
        <v>672658.15241291351</v>
      </c>
    </row>
    <row r="287" spans="1:12" x14ac:dyDescent="0.25">
      <c r="A287" s="4" t="s">
        <v>11</v>
      </c>
      <c r="B287" s="32">
        <f>IF(INDEX(E_budgeted!$B$3:$G$13,MATCH($A287,E_budgeted!$A$3:$A$13,0),MATCH($A$239,E_budgeted!$B$2:$G$2,0))&gt;0,MIN('Mzimvubu-Tsitsikamma CMA'!B89,E_budgeted!B359),'Mzimvubu-Tsitsikamma CMA'!B89)</f>
        <v>0</v>
      </c>
      <c r="C287" s="32">
        <f>IF(INDEX(E_budgeted!$B$3:$G$13,MATCH($A287,E_budgeted!$A$3:$A$13,0),MATCH($A$239,E_budgeted!$B$2:$G$2,0))&gt;0,MIN('Mzimvubu-Tsitsikamma CMA'!C89,E_budgeted!C359),'Mzimvubu-Tsitsikamma CMA'!C89)</f>
        <v>0</v>
      </c>
      <c r="D287" s="32">
        <f>IF(INDEX(E_budgeted!$B$3:$G$13,MATCH($A287,E_budgeted!$A$3:$A$13,0),MATCH($A$239,E_budgeted!$B$2:$G$2,0))&gt;0,MIN('Mzimvubu-Tsitsikamma CMA'!D89,E_budgeted!D359),'Mzimvubu-Tsitsikamma CMA'!D89)</f>
        <v>0</v>
      </c>
      <c r="E287" s="32">
        <f>IF(INDEX(E_budgeted!$B$3:$G$13,MATCH($A287,E_budgeted!$A$3:$A$13,0),MATCH($A$239,E_budgeted!$B$2:$G$2,0))&gt;0,MIN('Mzimvubu-Tsitsikamma CMA'!E89,E_budgeted!E359),'Mzimvubu-Tsitsikamma CMA'!E89)</f>
        <v>0</v>
      </c>
      <c r="F287" s="32">
        <f>IF(INDEX(E_budgeted!$B$3:$G$13,MATCH($A287,E_budgeted!$A$3:$A$13,0),MATCH($A$239,E_budgeted!$B$2:$G$2,0))&gt;0,MIN('Mzimvubu-Tsitsikamma CMA'!F89,E_budgeted!F359),'Mzimvubu-Tsitsikamma CMA'!F89)</f>
        <v>0</v>
      </c>
      <c r="G287" s="32">
        <f>IF(INDEX(E_budgeted!$B$3:$G$13,MATCH($A287,E_budgeted!$A$3:$A$13,0),MATCH($A$239,E_budgeted!$B$2:$G$2,0))&gt;0,MIN('Mzimvubu-Tsitsikamma CMA'!G89,E_budgeted!G359),'Mzimvubu-Tsitsikamma CMA'!G89)</f>
        <v>0</v>
      </c>
      <c r="H287" s="32">
        <f>IF(INDEX(E_budgeted!$B$3:$G$13,MATCH($A287,E_budgeted!$A$3:$A$13,0),MATCH($A$239,E_budgeted!$B$2:$G$2,0))&gt;0,MIN('Mzimvubu-Tsitsikamma CMA'!H89,E_budgeted!H359),'Mzimvubu-Tsitsikamma CMA'!H89)</f>
        <v>0</v>
      </c>
      <c r="I287" s="32">
        <f>IF(INDEX(E_budgeted!$B$3:$G$13,MATCH($A287,E_budgeted!$A$3:$A$13,0),MATCH($A$239,E_budgeted!$B$2:$G$2,0))&gt;0,MIN('Mzimvubu-Tsitsikamma CMA'!I89,E_budgeted!I359),'Mzimvubu-Tsitsikamma CMA'!I89)</f>
        <v>0</v>
      </c>
      <c r="J287" s="32">
        <f>IF(INDEX(E_budgeted!$B$3:$G$13,MATCH($A287,E_budgeted!$A$3:$A$13,0),MATCH($A$239,E_budgeted!$B$2:$G$2,0))&gt;0,MIN('Mzimvubu-Tsitsikamma CMA'!J89,E_budgeted!J359),'Mzimvubu-Tsitsikamma CMA'!J89)</f>
        <v>0</v>
      </c>
      <c r="K287" s="32">
        <f>IF(INDEX(E_budgeted!$B$3:$G$13,MATCH($A287,E_budgeted!$A$3:$A$13,0),MATCH($A$239,E_budgeted!$B$2:$G$2,0))&gt;0,MIN('Mzimvubu-Tsitsikamma CMA'!K89,E_budgeted!K359),'Mzimvubu-Tsitsikamma CMA'!K89)</f>
        <v>0</v>
      </c>
      <c r="L287" s="5">
        <f t="shared" si="202"/>
        <v>0</v>
      </c>
    </row>
    <row r="288" spans="1:12" x14ac:dyDescent="0.25">
      <c r="A288" s="4" t="s">
        <v>124</v>
      </c>
      <c r="B288" s="32">
        <f>IF(INDEX(E_budgeted!$B$3:$G$13,MATCH($A288,E_budgeted!$A$3:$A$13,0),MATCH($A$239,E_budgeted!$B$2:$G$2,0))&gt;0,MIN('Mzimvubu-Tsitsikamma CMA'!B90,E_budgeted!B360),'Mzimvubu-Tsitsikamma CMA'!B90)</f>
        <v>350000</v>
      </c>
      <c r="C288" s="32">
        <f>IF(INDEX(E_budgeted!$B$3:$G$13,MATCH($A288,E_budgeted!$A$3:$A$13,0),MATCH($A$239,E_budgeted!$B$2:$G$2,0))&gt;0,MIN('Mzimvubu-Tsitsikamma CMA'!C90,E_budgeted!C360),'Mzimvubu-Tsitsikamma CMA'!C90)</f>
        <v>350000</v>
      </c>
      <c r="D288" s="32">
        <f>IF(INDEX(E_budgeted!$B$3:$G$13,MATCH($A288,E_budgeted!$A$3:$A$13,0),MATCH($A$239,E_budgeted!$B$2:$G$2,0))&gt;0,MIN('Mzimvubu-Tsitsikamma CMA'!D90,E_budgeted!D360),'Mzimvubu-Tsitsikamma CMA'!D90)</f>
        <v>350000</v>
      </c>
      <c r="E288" s="32">
        <f>IF(INDEX(E_budgeted!$B$3:$G$13,MATCH($A288,E_budgeted!$A$3:$A$13,0),MATCH($A$239,E_budgeted!$B$2:$G$2,0))&gt;0,MIN('Mzimvubu-Tsitsikamma CMA'!E90,E_budgeted!E360),'Mzimvubu-Tsitsikamma CMA'!E90)</f>
        <v>350000</v>
      </c>
      <c r="F288" s="32">
        <f>IF(INDEX(E_budgeted!$B$3:$G$13,MATCH($A288,E_budgeted!$A$3:$A$13,0),MATCH($A$239,E_budgeted!$B$2:$G$2,0))&gt;0,MIN('Mzimvubu-Tsitsikamma CMA'!F90,E_budgeted!F360),'Mzimvubu-Tsitsikamma CMA'!F90)</f>
        <v>350000</v>
      </c>
      <c r="G288" s="32">
        <f>IF(INDEX(E_budgeted!$B$3:$G$13,MATCH($A288,E_budgeted!$A$3:$A$13,0),MATCH($A$239,E_budgeted!$B$2:$G$2,0))&gt;0,MIN('Mzimvubu-Tsitsikamma CMA'!G90,E_budgeted!G360),'Mzimvubu-Tsitsikamma CMA'!G90)</f>
        <v>350000</v>
      </c>
      <c r="H288" s="32">
        <f>IF(INDEX(E_budgeted!$B$3:$G$13,MATCH($A288,E_budgeted!$A$3:$A$13,0),MATCH($A$239,E_budgeted!$B$2:$G$2,0))&gt;0,MIN('Mzimvubu-Tsitsikamma CMA'!H90,E_budgeted!H360),'Mzimvubu-Tsitsikamma CMA'!H90)</f>
        <v>350000</v>
      </c>
      <c r="I288" s="32">
        <f>IF(INDEX(E_budgeted!$B$3:$G$13,MATCH($A288,E_budgeted!$A$3:$A$13,0),MATCH($A$239,E_budgeted!$B$2:$G$2,0))&gt;0,MIN('Mzimvubu-Tsitsikamma CMA'!I90,E_budgeted!I360),'Mzimvubu-Tsitsikamma CMA'!I90)</f>
        <v>350000</v>
      </c>
      <c r="J288" s="32">
        <f>IF(INDEX(E_budgeted!$B$3:$G$13,MATCH($A288,E_budgeted!$A$3:$A$13,0),MATCH($A$239,E_budgeted!$B$2:$G$2,0))&gt;0,MIN('Mzimvubu-Tsitsikamma CMA'!J90,E_budgeted!J360),'Mzimvubu-Tsitsikamma CMA'!J90)</f>
        <v>350000</v>
      </c>
      <c r="K288" s="32">
        <f>IF(INDEX(E_budgeted!$B$3:$G$13,MATCH($A288,E_budgeted!$A$3:$A$13,0),MATCH($A$239,E_budgeted!$B$2:$G$2,0))&gt;0,MIN('Mzimvubu-Tsitsikamma CMA'!K90,E_budgeted!K360),'Mzimvubu-Tsitsikamma CMA'!K90)</f>
        <v>350000</v>
      </c>
      <c r="L288" s="5">
        <f t="shared" si="202"/>
        <v>350000</v>
      </c>
    </row>
    <row r="289" spans="1:12" x14ac:dyDescent="0.25">
      <c r="A289" s="4" t="s">
        <v>12</v>
      </c>
      <c r="B289" s="32">
        <f>IF(INDEX(E_budgeted!$B$3:$G$13,MATCH($A289,E_budgeted!$A$3:$A$13,0),MATCH($A$239,E_budgeted!$B$2:$G$2,0))&gt;0,MIN('Mzimvubu-Tsitsikamma CMA'!B91,E_budgeted!B361),'Mzimvubu-Tsitsikamma CMA'!B91)</f>
        <v>756758.03416666668</v>
      </c>
      <c r="C289" s="32">
        <f>IF(INDEX(E_budgeted!$B$3:$G$13,MATCH($A289,E_budgeted!$A$3:$A$13,0),MATCH($A$239,E_budgeted!$B$2:$G$2,0))&gt;0,MIN('Mzimvubu-Tsitsikamma CMA'!C91,E_budgeted!C361),'Mzimvubu-Tsitsikamma CMA'!C91)</f>
        <v>756758.03416666668</v>
      </c>
      <c r="D289" s="32">
        <f>IF(INDEX(E_budgeted!$B$3:$G$13,MATCH($A289,E_budgeted!$A$3:$A$13,0),MATCH($A$239,E_budgeted!$B$2:$G$2,0))&gt;0,MIN('Mzimvubu-Tsitsikamma CMA'!D91,E_budgeted!D361),'Mzimvubu-Tsitsikamma CMA'!D91)</f>
        <v>756758.03416666668</v>
      </c>
      <c r="E289" s="32">
        <f>IF(INDEX(E_budgeted!$B$3:$G$13,MATCH($A289,E_budgeted!$A$3:$A$13,0),MATCH($A$239,E_budgeted!$B$2:$G$2,0))&gt;0,MIN('Mzimvubu-Tsitsikamma CMA'!E91,E_budgeted!E361),'Mzimvubu-Tsitsikamma CMA'!E91)</f>
        <v>756758.03416666668</v>
      </c>
      <c r="F289" s="32">
        <f>IF(INDEX(E_budgeted!$B$3:$G$13,MATCH($A289,E_budgeted!$A$3:$A$13,0),MATCH($A$239,E_budgeted!$B$2:$G$2,0))&gt;0,MIN('Mzimvubu-Tsitsikamma CMA'!F91,E_budgeted!F361),'Mzimvubu-Tsitsikamma CMA'!F91)</f>
        <v>756758.03416666668</v>
      </c>
      <c r="G289" s="32">
        <f>IF(INDEX(E_budgeted!$B$3:$G$13,MATCH($A289,E_budgeted!$A$3:$A$13,0),MATCH($A$239,E_budgeted!$B$2:$G$2,0))&gt;0,MIN('Mzimvubu-Tsitsikamma CMA'!G91,E_budgeted!G361),'Mzimvubu-Tsitsikamma CMA'!G91)</f>
        <v>756758.03416666668</v>
      </c>
      <c r="H289" s="32">
        <f>IF(INDEX(E_budgeted!$B$3:$G$13,MATCH($A289,E_budgeted!$A$3:$A$13,0),MATCH($A$239,E_budgeted!$B$2:$G$2,0))&gt;0,MIN('Mzimvubu-Tsitsikamma CMA'!H91,E_budgeted!H361),'Mzimvubu-Tsitsikamma CMA'!H91)</f>
        <v>756758.03416666668</v>
      </c>
      <c r="I289" s="32">
        <f>IF(INDEX(E_budgeted!$B$3:$G$13,MATCH($A289,E_budgeted!$A$3:$A$13,0),MATCH($A$239,E_budgeted!$B$2:$G$2,0))&gt;0,MIN('Mzimvubu-Tsitsikamma CMA'!I91,E_budgeted!I361),'Mzimvubu-Tsitsikamma CMA'!I91)</f>
        <v>756758.03416666668</v>
      </c>
      <c r="J289" s="32">
        <f>IF(INDEX(E_budgeted!$B$3:$G$13,MATCH($A289,E_budgeted!$A$3:$A$13,0),MATCH($A$239,E_budgeted!$B$2:$G$2,0))&gt;0,MIN('Mzimvubu-Tsitsikamma CMA'!J91,E_budgeted!J361),'Mzimvubu-Tsitsikamma CMA'!J91)</f>
        <v>756758.03416666668</v>
      </c>
      <c r="K289" s="32">
        <f>IF(INDEX(E_budgeted!$B$3:$G$13,MATCH($A289,E_budgeted!$A$3:$A$13,0),MATCH($A$239,E_budgeted!$B$2:$G$2,0))&gt;0,MIN('Mzimvubu-Tsitsikamma CMA'!K91,E_budgeted!K361),'Mzimvubu-Tsitsikamma CMA'!K91)</f>
        <v>756758.03416666668</v>
      </c>
      <c r="L289" s="5">
        <f t="shared" si="202"/>
        <v>756758.03416666668</v>
      </c>
    </row>
    <row r="290" spans="1:12" x14ac:dyDescent="0.25">
      <c r="A290" s="4" t="s">
        <v>13</v>
      </c>
      <c r="B290" s="32">
        <f>IF(INDEX(E_budgeted!$B$3:$G$13,MATCH($A290,E_budgeted!$A$3:$A$13,0),MATCH($A$239,E_budgeted!$B$2:$G$2,0))&gt;0,MIN('Mzimvubu-Tsitsikamma CMA'!B92,E_budgeted!B362),'Mzimvubu-Tsitsikamma CMA'!B92)</f>
        <v>0</v>
      </c>
      <c r="C290" s="32">
        <f>IF(INDEX(E_budgeted!$B$3:$G$13,MATCH($A290,E_budgeted!$A$3:$A$13,0),MATCH($A$239,E_budgeted!$B$2:$G$2,0))&gt;0,MIN('Mzimvubu-Tsitsikamma CMA'!C92,E_budgeted!C362),'Mzimvubu-Tsitsikamma CMA'!C92)</f>
        <v>0</v>
      </c>
      <c r="D290" s="32">
        <f>IF(INDEX(E_budgeted!$B$3:$G$13,MATCH($A290,E_budgeted!$A$3:$A$13,0),MATCH($A$239,E_budgeted!$B$2:$G$2,0))&gt;0,MIN('Mzimvubu-Tsitsikamma CMA'!D92,E_budgeted!D362),'Mzimvubu-Tsitsikamma CMA'!D92)</f>
        <v>0</v>
      </c>
      <c r="E290" s="32">
        <f>IF(INDEX(E_budgeted!$B$3:$G$13,MATCH($A290,E_budgeted!$A$3:$A$13,0),MATCH($A$239,E_budgeted!$B$2:$G$2,0))&gt;0,MIN('Mzimvubu-Tsitsikamma CMA'!E92,E_budgeted!E362),'Mzimvubu-Tsitsikamma CMA'!E92)</f>
        <v>0</v>
      </c>
      <c r="F290" s="32">
        <f>IF(INDEX(E_budgeted!$B$3:$G$13,MATCH($A290,E_budgeted!$A$3:$A$13,0),MATCH($A$239,E_budgeted!$B$2:$G$2,0))&gt;0,MIN('Mzimvubu-Tsitsikamma CMA'!F92,E_budgeted!F362),'Mzimvubu-Tsitsikamma CMA'!F92)</f>
        <v>0</v>
      </c>
      <c r="G290" s="32">
        <f>IF(INDEX(E_budgeted!$B$3:$G$13,MATCH($A290,E_budgeted!$A$3:$A$13,0),MATCH($A$239,E_budgeted!$B$2:$G$2,0))&gt;0,MIN('Mzimvubu-Tsitsikamma CMA'!G92,E_budgeted!G362),'Mzimvubu-Tsitsikamma CMA'!G92)</f>
        <v>0</v>
      </c>
      <c r="H290" s="32">
        <f>IF(INDEX(E_budgeted!$B$3:$G$13,MATCH($A290,E_budgeted!$A$3:$A$13,0),MATCH($A$239,E_budgeted!$B$2:$G$2,0))&gt;0,MIN('Mzimvubu-Tsitsikamma CMA'!H92,E_budgeted!H362),'Mzimvubu-Tsitsikamma CMA'!H92)</f>
        <v>0</v>
      </c>
      <c r="I290" s="32">
        <f>IF(INDEX(E_budgeted!$B$3:$G$13,MATCH($A290,E_budgeted!$A$3:$A$13,0),MATCH($A$239,E_budgeted!$B$2:$G$2,0))&gt;0,MIN('Mzimvubu-Tsitsikamma CMA'!I92,E_budgeted!I362),'Mzimvubu-Tsitsikamma CMA'!I92)</f>
        <v>0</v>
      </c>
      <c r="J290" s="32">
        <f>IF(INDEX(E_budgeted!$B$3:$G$13,MATCH($A290,E_budgeted!$A$3:$A$13,0),MATCH($A$239,E_budgeted!$B$2:$G$2,0))&gt;0,MIN('Mzimvubu-Tsitsikamma CMA'!J92,E_budgeted!J362),'Mzimvubu-Tsitsikamma CMA'!J92)</f>
        <v>0</v>
      </c>
      <c r="K290" s="32">
        <f>IF(INDEX(E_budgeted!$B$3:$G$13,MATCH($A290,E_budgeted!$A$3:$A$13,0),MATCH($A$239,E_budgeted!$B$2:$G$2,0))&gt;0,MIN('Mzimvubu-Tsitsikamma CMA'!K92,E_budgeted!K362),'Mzimvubu-Tsitsikamma CMA'!K92)</f>
        <v>0</v>
      </c>
      <c r="L290" s="5">
        <f t="shared" si="202"/>
        <v>0</v>
      </c>
    </row>
    <row r="291" spans="1:12" x14ac:dyDescent="0.25">
      <c r="A291" s="4" t="s">
        <v>14</v>
      </c>
      <c r="B291" s="32">
        <f>IF(INDEX(E_budgeted!$B$3:$G$13,MATCH($A291,E_budgeted!$A$3:$A$13,0),MATCH($A$239,E_budgeted!$B$2:$G$2,0))&gt;0,MIN('Mzimvubu-Tsitsikamma CMA'!B93,E_budgeted!B363),'Mzimvubu-Tsitsikamma CMA'!B93)</f>
        <v>0</v>
      </c>
      <c r="C291" s="32">
        <f>IF(INDEX(E_budgeted!$B$3:$G$13,MATCH($A291,E_budgeted!$A$3:$A$13,0),MATCH($A$239,E_budgeted!$B$2:$G$2,0))&gt;0,MIN('Mzimvubu-Tsitsikamma CMA'!C93,E_budgeted!C363),'Mzimvubu-Tsitsikamma CMA'!C93)</f>
        <v>0</v>
      </c>
      <c r="D291" s="32">
        <f>IF(INDEX(E_budgeted!$B$3:$G$13,MATCH($A291,E_budgeted!$A$3:$A$13,0),MATCH($A$239,E_budgeted!$B$2:$G$2,0))&gt;0,MIN('Mzimvubu-Tsitsikamma CMA'!D93,E_budgeted!D363),'Mzimvubu-Tsitsikamma CMA'!D93)</f>
        <v>0</v>
      </c>
      <c r="E291" s="32">
        <f>IF(INDEX(E_budgeted!$B$3:$G$13,MATCH($A291,E_budgeted!$A$3:$A$13,0),MATCH($A$239,E_budgeted!$B$2:$G$2,0))&gt;0,MIN('Mzimvubu-Tsitsikamma CMA'!E93,E_budgeted!E363),'Mzimvubu-Tsitsikamma CMA'!E93)</f>
        <v>0</v>
      </c>
      <c r="F291" s="32">
        <f>IF(INDEX(E_budgeted!$B$3:$G$13,MATCH($A291,E_budgeted!$A$3:$A$13,0),MATCH($A$239,E_budgeted!$B$2:$G$2,0))&gt;0,MIN('Mzimvubu-Tsitsikamma CMA'!F93,E_budgeted!F363),'Mzimvubu-Tsitsikamma CMA'!F93)</f>
        <v>0</v>
      </c>
      <c r="G291" s="32">
        <f>IF(INDEX(E_budgeted!$B$3:$G$13,MATCH($A291,E_budgeted!$A$3:$A$13,0),MATCH($A$239,E_budgeted!$B$2:$G$2,0))&gt;0,MIN('Mzimvubu-Tsitsikamma CMA'!G93,E_budgeted!G363),'Mzimvubu-Tsitsikamma CMA'!G93)</f>
        <v>0</v>
      </c>
      <c r="H291" s="32">
        <f>IF(INDEX(E_budgeted!$B$3:$G$13,MATCH($A291,E_budgeted!$A$3:$A$13,0),MATCH($A$239,E_budgeted!$B$2:$G$2,0))&gt;0,MIN('Mzimvubu-Tsitsikamma CMA'!H93,E_budgeted!H363),'Mzimvubu-Tsitsikamma CMA'!H93)</f>
        <v>0</v>
      </c>
      <c r="I291" s="32">
        <f>IF(INDEX(E_budgeted!$B$3:$G$13,MATCH($A291,E_budgeted!$A$3:$A$13,0),MATCH($A$239,E_budgeted!$B$2:$G$2,0))&gt;0,MIN('Mzimvubu-Tsitsikamma CMA'!I93,E_budgeted!I363),'Mzimvubu-Tsitsikamma CMA'!I93)</f>
        <v>0</v>
      </c>
      <c r="J291" s="32">
        <f>IF(INDEX(E_budgeted!$B$3:$G$13,MATCH($A291,E_budgeted!$A$3:$A$13,0),MATCH($A$239,E_budgeted!$B$2:$G$2,0))&gt;0,MIN('Mzimvubu-Tsitsikamma CMA'!J93,E_budgeted!J363),'Mzimvubu-Tsitsikamma CMA'!J93)</f>
        <v>0</v>
      </c>
      <c r="K291" s="32">
        <f>IF(INDEX(E_budgeted!$B$3:$G$13,MATCH($A291,E_budgeted!$A$3:$A$13,0),MATCH($A$239,E_budgeted!$B$2:$G$2,0))&gt;0,MIN('Mzimvubu-Tsitsikamma CMA'!K93,E_budgeted!K363),'Mzimvubu-Tsitsikamma CMA'!K93)</f>
        <v>0</v>
      </c>
      <c r="L291" s="5">
        <f t="shared" si="202"/>
        <v>0</v>
      </c>
    </row>
    <row r="292" spans="1:12" x14ac:dyDescent="0.25">
      <c r="A292" s="4" t="s">
        <v>125</v>
      </c>
      <c r="B292" s="32">
        <f>IF(INDEX(E_budgeted!$B$3:$G$13,MATCH($A292,E_budgeted!$A$3:$A$13,0),MATCH($A$239,E_budgeted!$B$2:$G$2,0))&gt;0,MIN('Mzimvubu-Tsitsikamma CMA'!B94,E_budgeted!B364),'Mzimvubu-Tsitsikamma CMA'!B94)</f>
        <v>447739.58179952449</v>
      </c>
      <c r="C292" s="32">
        <f>IF(INDEX(E_budgeted!$B$3:$G$13,MATCH($A292,E_budgeted!$A$3:$A$13,0),MATCH($A$239,E_budgeted!$B$2:$G$2,0))&gt;0,MIN('Mzimvubu-Tsitsikamma CMA'!C94,E_budgeted!C364),'Mzimvubu-Tsitsikamma CMA'!C94)</f>
        <v>447739.58179952449</v>
      </c>
      <c r="D292" s="32">
        <f>IF(INDEX(E_budgeted!$B$3:$G$13,MATCH($A292,E_budgeted!$A$3:$A$13,0),MATCH($A$239,E_budgeted!$B$2:$G$2,0))&gt;0,MIN('Mzimvubu-Tsitsikamma CMA'!D94,E_budgeted!D364),'Mzimvubu-Tsitsikamma CMA'!D94)</f>
        <v>447739.58179952449</v>
      </c>
      <c r="E292" s="32">
        <f>IF(INDEX(E_budgeted!$B$3:$G$13,MATCH($A292,E_budgeted!$A$3:$A$13,0),MATCH($A$239,E_budgeted!$B$2:$G$2,0))&gt;0,MIN('Mzimvubu-Tsitsikamma CMA'!E94,E_budgeted!E364),'Mzimvubu-Tsitsikamma CMA'!E94)</f>
        <v>447739.58179952449</v>
      </c>
      <c r="F292" s="32">
        <f>IF(INDEX(E_budgeted!$B$3:$G$13,MATCH($A292,E_budgeted!$A$3:$A$13,0),MATCH($A$239,E_budgeted!$B$2:$G$2,0))&gt;0,MIN('Mzimvubu-Tsitsikamma CMA'!F94,E_budgeted!F364),'Mzimvubu-Tsitsikamma CMA'!F94)</f>
        <v>447739.58179952449</v>
      </c>
      <c r="G292" s="32">
        <f>IF(INDEX(E_budgeted!$B$3:$G$13,MATCH($A292,E_budgeted!$A$3:$A$13,0),MATCH($A$239,E_budgeted!$B$2:$G$2,0))&gt;0,MIN('Mzimvubu-Tsitsikamma CMA'!G94,E_budgeted!G364),'Mzimvubu-Tsitsikamma CMA'!G94)</f>
        <v>447739.58179952449</v>
      </c>
      <c r="H292" s="32">
        <f>IF(INDEX(E_budgeted!$B$3:$G$13,MATCH($A292,E_budgeted!$A$3:$A$13,0),MATCH($A$239,E_budgeted!$B$2:$G$2,0))&gt;0,MIN('Mzimvubu-Tsitsikamma CMA'!H94,E_budgeted!H364),'Mzimvubu-Tsitsikamma CMA'!H94)</f>
        <v>447739.58179952449</v>
      </c>
      <c r="I292" s="32">
        <f>IF(INDEX(E_budgeted!$B$3:$G$13,MATCH($A292,E_budgeted!$A$3:$A$13,0),MATCH($A$239,E_budgeted!$B$2:$G$2,0))&gt;0,MIN('Mzimvubu-Tsitsikamma CMA'!I94,E_budgeted!I364),'Mzimvubu-Tsitsikamma CMA'!I94)</f>
        <v>447739.58179952449</v>
      </c>
      <c r="J292" s="32">
        <f>IF(INDEX(E_budgeted!$B$3:$G$13,MATCH($A292,E_budgeted!$A$3:$A$13,0),MATCH($A$239,E_budgeted!$B$2:$G$2,0))&gt;0,MIN('Mzimvubu-Tsitsikamma CMA'!J94,E_budgeted!J364),'Mzimvubu-Tsitsikamma CMA'!J94)</f>
        <v>447739.58179952449</v>
      </c>
      <c r="K292" s="32">
        <f>IF(INDEX(E_budgeted!$B$3:$G$13,MATCH($A292,E_budgeted!$A$3:$A$13,0),MATCH($A$239,E_budgeted!$B$2:$G$2,0))&gt;0,MIN('Mzimvubu-Tsitsikamma CMA'!K94,E_budgeted!K364),'Mzimvubu-Tsitsikamma CMA'!K94)</f>
        <v>447739.58179952449</v>
      </c>
      <c r="L292" s="5">
        <f t="shared" si="202"/>
        <v>447739.58179952449</v>
      </c>
    </row>
    <row r="293" spans="1:12" x14ac:dyDescent="0.25">
      <c r="A293" s="4" t="s">
        <v>37</v>
      </c>
      <c r="B293" s="32">
        <f>IF(INDEX(E_budgeted!$B$3:$G$13,MATCH($A293,E_budgeted!$A$3:$A$13,0),MATCH($A$239,E_budgeted!$B$2:$G$2,0))&gt;0,MIN('Mzimvubu-Tsitsikamma CMA'!B95,E_budgeted!B365),'Mzimvubu-Tsitsikamma CMA'!B95)</f>
        <v>9860702.8088845182</v>
      </c>
      <c r="C293" s="32">
        <f>IF(INDEX(E_budgeted!$B$3:$G$13,MATCH($A293,E_budgeted!$A$3:$A$13,0),MATCH($A$239,E_budgeted!$B$2:$G$2,0))&gt;0,MIN('Mzimvubu-Tsitsikamma CMA'!C95,E_budgeted!C365),'Mzimvubu-Tsitsikamma CMA'!C95)</f>
        <v>9860702.8088845182</v>
      </c>
      <c r="D293" s="32">
        <f>IF(INDEX(E_budgeted!$B$3:$G$13,MATCH($A293,E_budgeted!$A$3:$A$13,0),MATCH($A$239,E_budgeted!$B$2:$G$2,0))&gt;0,MIN('Mzimvubu-Tsitsikamma CMA'!D95,E_budgeted!D365),'Mzimvubu-Tsitsikamma CMA'!D95)</f>
        <v>9860702.8088845182</v>
      </c>
      <c r="E293" s="32">
        <f>IF(INDEX(E_budgeted!$B$3:$G$13,MATCH($A293,E_budgeted!$A$3:$A$13,0),MATCH($A$239,E_budgeted!$B$2:$G$2,0))&gt;0,MIN('Mzimvubu-Tsitsikamma CMA'!E95,E_budgeted!E365),'Mzimvubu-Tsitsikamma CMA'!E95)</f>
        <v>9860702.8088845182</v>
      </c>
      <c r="F293" s="32">
        <f>IF(INDEX(E_budgeted!$B$3:$G$13,MATCH($A293,E_budgeted!$A$3:$A$13,0),MATCH($A$239,E_budgeted!$B$2:$G$2,0))&gt;0,MIN('Mzimvubu-Tsitsikamma CMA'!F95,E_budgeted!F365),'Mzimvubu-Tsitsikamma CMA'!F95)</f>
        <v>9860702.8088845182</v>
      </c>
      <c r="G293" s="32">
        <f>IF(INDEX(E_budgeted!$B$3:$G$13,MATCH($A293,E_budgeted!$A$3:$A$13,0),MATCH($A$239,E_budgeted!$B$2:$G$2,0))&gt;0,MIN('Mzimvubu-Tsitsikamma CMA'!G95,E_budgeted!G365),'Mzimvubu-Tsitsikamma CMA'!G95)</f>
        <v>9860702.8088845182</v>
      </c>
      <c r="H293" s="32">
        <f>IF(INDEX(E_budgeted!$B$3:$G$13,MATCH($A293,E_budgeted!$A$3:$A$13,0),MATCH($A$239,E_budgeted!$B$2:$G$2,0))&gt;0,MIN('Mzimvubu-Tsitsikamma CMA'!H95,E_budgeted!H365),'Mzimvubu-Tsitsikamma CMA'!H95)</f>
        <v>9860702.8088845182</v>
      </c>
      <c r="I293" s="32">
        <f>IF(INDEX(E_budgeted!$B$3:$G$13,MATCH($A293,E_budgeted!$A$3:$A$13,0),MATCH($A$239,E_budgeted!$B$2:$G$2,0))&gt;0,MIN('Mzimvubu-Tsitsikamma CMA'!I95,E_budgeted!I365),'Mzimvubu-Tsitsikamma CMA'!I95)</f>
        <v>9860702.8088845182</v>
      </c>
      <c r="J293" s="32">
        <f>IF(INDEX(E_budgeted!$B$3:$G$13,MATCH($A293,E_budgeted!$A$3:$A$13,0),MATCH($A$239,E_budgeted!$B$2:$G$2,0))&gt;0,MIN('Mzimvubu-Tsitsikamma CMA'!J95,E_budgeted!J365),'Mzimvubu-Tsitsikamma CMA'!J95)</f>
        <v>9860702.8088845182</v>
      </c>
      <c r="K293" s="32">
        <f>IF(INDEX(E_budgeted!$B$3:$G$13,MATCH($A293,E_budgeted!$A$3:$A$13,0),MATCH($A$239,E_budgeted!$B$2:$G$2,0))&gt;0,MIN('Mzimvubu-Tsitsikamma CMA'!K95,E_budgeted!K365),'Mzimvubu-Tsitsikamma CMA'!K95)</f>
        <v>9860702.8088845182</v>
      </c>
      <c r="L293" s="5">
        <f t="shared" si="202"/>
        <v>9860702.8088845182</v>
      </c>
    </row>
    <row r="294" spans="1:12" x14ac:dyDescent="0.25">
      <c r="A294" s="4" t="s">
        <v>38</v>
      </c>
      <c r="B294" s="32">
        <f>IF(INDEX(E_budgeted!$B$3:$G$13,MATCH($A294,E_budgeted!$A$3:$A$13,0),MATCH($A$239,E_budgeted!$B$2:$G$2,0))&gt;0,MIN('Mzimvubu-Tsitsikamma CMA'!B96,E_budgeted!B366),'Mzimvubu-Tsitsikamma CMA'!B96)</f>
        <v>94624.551000000021</v>
      </c>
      <c r="C294" s="32">
        <f>IF(INDEX(E_budgeted!$B$3:$G$13,MATCH($A294,E_budgeted!$A$3:$A$13,0),MATCH($A$239,E_budgeted!$B$2:$G$2,0))&gt;0,MIN('Mzimvubu-Tsitsikamma CMA'!C96,E_budgeted!C366),'Mzimvubu-Tsitsikamma CMA'!C96)</f>
        <v>94624.551000000021</v>
      </c>
      <c r="D294" s="32">
        <f>IF(INDEX(E_budgeted!$B$3:$G$13,MATCH($A294,E_budgeted!$A$3:$A$13,0),MATCH($A$239,E_budgeted!$B$2:$G$2,0))&gt;0,MIN('Mzimvubu-Tsitsikamma CMA'!D96,E_budgeted!D366),'Mzimvubu-Tsitsikamma CMA'!D96)</f>
        <v>94624.551000000021</v>
      </c>
      <c r="E294" s="32">
        <f>IF(INDEX(E_budgeted!$B$3:$G$13,MATCH($A294,E_budgeted!$A$3:$A$13,0),MATCH($A$239,E_budgeted!$B$2:$G$2,0))&gt;0,MIN('Mzimvubu-Tsitsikamma CMA'!E96,E_budgeted!E366),'Mzimvubu-Tsitsikamma CMA'!E96)</f>
        <v>94624.551000000021</v>
      </c>
      <c r="F294" s="32">
        <f>IF(INDEX(E_budgeted!$B$3:$G$13,MATCH($A294,E_budgeted!$A$3:$A$13,0),MATCH($A$239,E_budgeted!$B$2:$G$2,0))&gt;0,MIN('Mzimvubu-Tsitsikamma CMA'!F96,E_budgeted!F366),'Mzimvubu-Tsitsikamma CMA'!F96)</f>
        <v>94624.551000000021</v>
      </c>
      <c r="G294" s="32">
        <f>IF(INDEX(E_budgeted!$B$3:$G$13,MATCH($A294,E_budgeted!$A$3:$A$13,0),MATCH($A$239,E_budgeted!$B$2:$G$2,0))&gt;0,MIN('Mzimvubu-Tsitsikamma CMA'!G96,E_budgeted!G366),'Mzimvubu-Tsitsikamma CMA'!G96)</f>
        <v>94624.551000000021</v>
      </c>
      <c r="H294" s="32">
        <f>IF(INDEX(E_budgeted!$B$3:$G$13,MATCH($A294,E_budgeted!$A$3:$A$13,0),MATCH($A$239,E_budgeted!$B$2:$G$2,0))&gt;0,MIN('Mzimvubu-Tsitsikamma CMA'!H96,E_budgeted!H366),'Mzimvubu-Tsitsikamma CMA'!H96)</f>
        <v>94624.551000000021</v>
      </c>
      <c r="I294" s="32">
        <f>IF(INDEX(E_budgeted!$B$3:$G$13,MATCH($A294,E_budgeted!$A$3:$A$13,0),MATCH($A$239,E_budgeted!$B$2:$G$2,0))&gt;0,MIN('Mzimvubu-Tsitsikamma CMA'!I96,E_budgeted!I366),'Mzimvubu-Tsitsikamma CMA'!I96)</f>
        <v>94624.551000000021</v>
      </c>
      <c r="J294" s="32">
        <f>IF(INDEX(E_budgeted!$B$3:$G$13,MATCH($A294,E_budgeted!$A$3:$A$13,0),MATCH($A$239,E_budgeted!$B$2:$G$2,0))&gt;0,MIN('Mzimvubu-Tsitsikamma CMA'!J96,E_budgeted!J366),'Mzimvubu-Tsitsikamma CMA'!J96)</f>
        <v>94624.551000000021</v>
      </c>
      <c r="K294" s="32">
        <f>IF(INDEX(E_budgeted!$B$3:$G$13,MATCH($A294,E_budgeted!$A$3:$A$13,0),MATCH($A$239,E_budgeted!$B$2:$G$2,0))&gt;0,MIN('Mzimvubu-Tsitsikamma CMA'!K96,E_budgeted!K366),'Mzimvubu-Tsitsikamma CMA'!K96)</f>
        <v>94624.551000000021</v>
      </c>
      <c r="L294" s="5">
        <f t="shared" si="202"/>
        <v>94624.551000000007</v>
      </c>
    </row>
    <row r="295" spans="1:12" x14ac:dyDescent="0.25">
      <c r="A295" s="4" t="s">
        <v>15</v>
      </c>
      <c r="B295" s="13">
        <f>IF(INDEX(E_budgeted!$B$3:$G$13,MATCH($A295,E_budgeted!$A$3:$A$13,0),MATCH($A$239,E_budgeted!$B$2:$G$2,0))&gt;0,MIN('Mzimvubu-Tsitsikamma CMA'!B97,E_budgeted!B367),'Mzimvubu-Tsitsikamma CMA'!B97)</f>
        <v>6473460.9394181389</v>
      </c>
      <c r="C295" s="13">
        <f>IF(INDEX(E_budgeted!$B$3:$G$13,MATCH($A295,E_budgeted!$A$3:$A$13,0),MATCH($A$239,E_budgeted!$B$2:$G$2,0))&gt;0,MIN('Mzimvubu-Tsitsikamma CMA'!C97,E_budgeted!C367),'Mzimvubu-Tsitsikamma CMA'!C97)</f>
        <v>6473460.9394181389</v>
      </c>
      <c r="D295" s="13">
        <f>IF(INDEX(E_budgeted!$B$3:$G$13,MATCH($A295,E_budgeted!$A$3:$A$13,0),MATCH($A$239,E_budgeted!$B$2:$G$2,0))&gt;0,MIN('Mzimvubu-Tsitsikamma CMA'!D97,E_budgeted!D367),'Mzimvubu-Tsitsikamma CMA'!D97)</f>
        <v>6473460.9394181389</v>
      </c>
      <c r="E295" s="13">
        <f>IF(INDEX(E_budgeted!$B$3:$G$13,MATCH($A295,E_budgeted!$A$3:$A$13,0),MATCH($A$239,E_budgeted!$B$2:$G$2,0))&gt;0,MIN('Mzimvubu-Tsitsikamma CMA'!E97,E_budgeted!E367),'Mzimvubu-Tsitsikamma CMA'!E97)</f>
        <v>6473460.9394181389</v>
      </c>
      <c r="F295" s="13">
        <f>IF(INDEX(E_budgeted!$B$3:$G$13,MATCH($A295,E_budgeted!$A$3:$A$13,0),MATCH($A$239,E_budgeted!$B$2:$G$2,0))&gt;0,MIN('Mzimvubu-Tsitsikamma CMA'!F97,E_budgeted!F367),'Mzimvubu-Tsitsikamma CMA'!F97)</f>
        <v>6473460.9394181389</v>
      </c>
      <c r="G295" s="13">
        <f>IF(INDEX(E_budgeted!$B$3:$G$13,MATCH($A295,E_budgeted!$A$3:$A$13,0),MATCH($A$239,E_budgeted!$B$2:$G$2,0))&gt;0,MIN('Mzimvubu-Tsitsikamma CMA'!G97,E_budgeted!G367),'Mzimvubu-Tsitsikamma CMA'!G97)</f>
        <v>6473460.9394181389</v>
      </c>
      <c r="H295" s="13">
        <f>IF(INDEX(E_budgeted!$B$3:$G$13,MATCH($A295,E_budgeted!$A$3:$A$13,0),MATCH($A$239,E_budgeted!$B$2:$G$2,0))&gt;0,MIN('Mzimvubu-Tsitsikamma CMA'!H97,E_budgeted!H367),'Mzimvubu-Tsitsikamma CMA'!H97)</f>
        <v>6473460.9394181389</v>
      </c>
      <c r="I295" s="13">
        <f>IF(INDEX(E_budgeted!$B$3:$G$13,MATCH($A295,E_budgeted!$A$3:$A$13,0),MATCH($A$239,E_budgeted!$B$2:$G$2,0))&gt;0,MIN('Mzimvubu-Tsitsikamma CMA'!I97,E_budgeted!I367),'Mzimvubu-Tsitsikamma CMA'!I97)</f>
        <v>6473460.9394181389</v>
      </c>
      <c r="J295" s="13">
        <f>IF(INDEX(E_budgeted!$B$3:$G$13,MATCH($A295,E_budgeted!$A$3:$A$13,0),MATCH($A$239,E_budgeted!$B$2:$G$2,0))&gt;0,MIN('Mzimvubu-Tsitsikamma CMA'!J97,E_budgeted!J367),'Mzimvubu-Tsitsikamma CMA'!J97)</f>
        <v>6473460.9394181389</v>
      </c>
      <c r="K295" s="13">
        <f>IF(INDEX(E_budgeted!$B$3:$G$13,MATCH($A295,E_budgeted!$A$3:$A$13,0),MATCH($A$239,E_budgeted!$B$2:$G$2,0))&gt;0,MIN('Mzimvubu-Tsitsikamma CMA'!K97,E_budgeted!K367),'Mzimvubu-Tsitsikamma CMA'!K97)</f>
        <v>6473460.9394181389</v>
      </c>
      <c r="L295" s="5">
        <f t="shared" si="202"/>
        <v>6473460.939418138</v>
      </c>
    </row>
    <row r="296" spans="1:12" x14ac:dyDescent="0.25">
      <c r="B296" s="5">
        <f>SUM(B285:B295)</f>
        <v>22766620.789363563</v>
      </c>
      <c r="C296" s="5">
        <f t="shared" ref="C296:K296" si="203">SUM(C285:C295)</f>
        <v>22766620.789363563</v>
      </c>
      <c r="D296" s="5">
        <f t="shared" si="203"/>
        <v>22766620.789363563</v>
      </c>
      <c r="E296" s="5">
        <f t="shared" si="203"/>
        <v>22766620.789363563</v>
      </c>
      <c r="F296" s="5">
        <f t="shared" si="203"/>
        <v>22766620.789363563</v>
      </c>
      <c r="G296" s="5">
        <f t="shared" si="203"/>
        <v>22766620.789363563</v>
      </c>
      <c r="H296" s="5">
        <f t="shared" si="203"/>
        <v>22766620.789363563</v>
      </c>
      <c r="I296" s="5">
        <f t="shared" si="203"/>
        <v>22766620.789363563</v>
      </c>
      <c r="J296" s="5">
        <f t="shared" si="203"/>
        <v>22766620.789363563</v>
      </c>
      <c r="K296" s="5">
        <f t="shared" si="203"/>
        <v>22766620.789363563</v>
      </c>
      <c r="L296" s="5"/>
    </row>
    <row r="297" spans="1:12" x14ac:dyDescent="0.25">
      <c r="B297" s="16">
        <f>B296/$B$253</f>
        <v>0.33554731517479647</v>
      </c>
    </row>
    <row r="298" spans="1:12" s="3" customFormat="1" x14ac:dyDescent="0.25">
      <c r="A298" s="2" t="s">
        <v>34</v>
      </c>
    </row>
    <row r="300" spans="1:12" x14ac:dyDescent="0.25">
      <c r="A300" s="1" t="s">
        <v>60</v>
      </c>
      <c r="B300" s="12" t="str">
        <f>'Summary dashboard'!C4</f>
        <v>2023</v>
      </c>
      <c r="C300" s="12">
        <f t="shared" ref="C300" si="204">B300+1</f>
        <v>2024</v>
      </c>
      <c r="D300" s="12">
        <f t="shared" ref="D300" si="205">C300+1</f>
        <v>2025</v>
      </c>
      <c r="E300" s="12">
        <f t="shared" ref="E300" si="206">D300+1</f>
        <v>2026</v>
      </c>
      <c r="F300" s="12">
        <f t="shared" ref="F300" si="207">E300+1</f>
        <v>2027</v>
      </c>
      <c r="G300" s="12">
        <f t="shared" ref="G300" si="208">F300+1</f>
        <v>2028</v>
      </c>
      <c r="H300" s="12">
        <f t="shared" ref="H300" si="209">G300+1</f>
        <v>2029</v>
      </c>
      <c r="I300" s="12">
        <f t="shared" ref="I300" si="210">H300+1</f>
        <v>2030</v>
      </c>
      <c r="J300" s="12">
        <f t="shared" ref="J300" si="211">I300+1</f>
        <v>2031</v>
      </c>
      <c r="K300" s="12">
        <f t="shared" ref="K300" si="212">J300+1</f>
        <v>2032</v>
      </c>
      <c r="L300" s="1" t="s">
        <v>28</v>
      </c>
    </row>
    <row r="301" spans="1:12" x14ac:dyDescent="0.25">
      <c r="A301" s="4" t="s">
        <v>35</v>
      </c>
      <c r="B301" s="32">
        <f>IF(INDEX(E_budgeted!$B$3:$G$13,MATCH($A301,E_budgeted!$A$3:$A$13,0),MATCH($A$298,E_budgeted!$B$2:$G$2,0))&gt;0,MIN('Breede-Olifants CMA'!B44,E_budgeted!B385),'Breede-Olifants CMA'!B44)</f>
        <v>8943856.1610796414</v>
      </c>
      <c r="C301" s="32">
        <f>IF(INDEX(E_budgeted!$B$3:$G$13,MATCH($A301,E_budgeted!$A$3:$A$13,0),MATCH($A$298,E_budgeted!$B$2:$G$2,0))&gt;0,MIN('Breede-Olifants CMA'!C44,E_budgeted!C385),'Breede-Olifants CMA'!C44)</f>
        <v>8943856.1610796414</v>
      </c>
      <c r="D301" s="32">
        <f>IF(INDEX(E_budgeted!$B$3:$G$13,MATCH($A301,E_budgeted!$A$3:$A$13,0),MATCH($A$298,E_budgeted!$B$2:$G$2,0))&gt;0,MIN('Breede-Olifants CMA'!D44,E_budgeted!D385),'Breede-Olifants CMA'!D44)</f>
        <v>8943856.1610796414</v>
      </c>
      <c r="E301" s="32">
        <f>IF(INDEX(E_budgeted!$B$3:$G$13,MATCH($A301,E_budgeted!$A$3:$A$13,0),MATCH($A$298,E_budgeted!$B$2:$G$2,0))&gt;0,MIN('Breede-Olifants CMA'!E44,E_budgeted!E385),'Breede-Olifants CMA'!E44)</f>
        <v>8943856.1610796414</v>
      </c>
      <c r="F301" s="32">
        <f>IF(INDEX(E_budgeted!$B$3:$G$13,MATCH($A301,E_budgeted!$A$3:$A$13,0),MATCH($A$298,E_budgeted!$B$2:$G$2,0))&gt;0,MIN('Breede-Olifants CMA'!F44,E_budgeted!F385),'Breede-Olifants CMA'!F44)</f>
        <v>8943856.1610796414</v>
      </c>
      <c r="G301" s="32">
        <f>IF(INDEX(E_budgeted!$B$3:$G$13,MATCH($A301,E_budgeted!$A$3:$A$13,0),MATCH($A$298,E_budgeted!$B$2:$G$2,0))&gt;0,MIN('Breede-Olifants CMA'!G44,E_budgeted!G385),'Breede-Olifants CMA'!G44)</f>
        <v>8943856.1610796414</v>
      </c>
      <c r="H301" s="32">
        <f>IF(INDEX(E_budgeted!$B$3:$G$13,MATCH($A301,E_budgeted!$A$3:$A$13,0),MATCH($A$298,E_budgeted!$B$2:$G$2,0))&gt;0,MIN('Breede-Olifants CMA'!H44,E_budgeted!H385),'Breede-Olifants CMA'!H44)</f>
        <v>8943856.1610796414</v>
      </c>
      <c r="I301" s="32">
        <f>IF(INDEX(E_budgeted!$B$3:$G$13,MATCH($A301,E_budgeted!$A$3:$A$13,0),MATCH($A$298,E_budgeted!$B$2:$G$2,0))&gt;0,MIN('Breede-Olifants CMA'!I44,E_budgeted!I385),'Breede-Olifants CMA'!I44)</f>
        <v>8943856.1610796414</v>
      </c>
      <c r="J301" s="32">
        <f>IF(INDEX(E_budgeted!$B$3:$G$13,MATCH($A301,E_budgeted!$A$3:$A$13,0),MATCH($A$298,E_budgeted!$B$2:$G$2,0))&gt;0,MIN('Breede-Olifants CMA'!J44,E_budgeted!J385),'Breede-Olifants CMA'!J44)</f>
        <v>8943856.1610796414</v>
      </c>
      <c r="K301" s="32">
        <f>IF(INDEX(E_budgeted!$B$3:$G$13,MATCH($A301,E_budgeted!$A$3:$A$13,0),MATCH($A$298,E_budgeted!$B$2:$G$2,0))&gt;0,MIN('Breede-Olifants CMA'!K44,E_budgeted!K385),'Breede-Olifants CMA'!K44)</f>
        <v>8943856.1610796414</v>
      </c>
      <c r="L301" s="5">
        <f t="shared" ref="L301:L311" si="213">AVERAGE(B301:K301)</f>
        <v>8943856.1610796433</v>
      </c>
    </row>
    <row r="302" spans="1:12" x14ac:dyDescent="0.25">
      <c r="A302" s="4" t="s">
        <v>36</v>
      </c>
      <c r="B302" s="32">
        <f>IF(INDEX(E_budgeted!$B$3:$G$13,MATCH($A302,E_budgeted!$A$3:$A$13,0),MATCH($A$298,E_budgeted!$B$2:$G$2,0))&gt;0,MIN('Breede-Olifants CMA'!B45,E_budgeted!B386),'Breede-Olifants CMA'!B45)</f>
        <v>4902873.629599344</v>
      </c>
      <c r="C302" s="32">
        <f>IF(INDEX(E_budgeted!$B$3:$G$13,MATCH($A302,E_budgeted!$A$3:$A$13,0),MATCH($A$298,E_budgeted!$B$2:$G$2,0))&gt;0,MIN('Breede-Olifants CMA'!C45,E_budgeted!C386),'Breede-Olifants CMA'!C45)</f>
        <v>4902873.629599344</v>
      </c>
      <c r="D302" s="32">
        <f>IF(INDEX(E_budgeted!$B$3:$G$13,MATCH($A302,E_budgeted!$A$3:$A$13,0),MATCH($A$298,E_budgeted!$B$2:$G$2,0))&gt;0,MIN('Breede-Olifants CMA'!D45,E_budgeted!D386),'Breede-Olifants CMA'!D45)</f>
        <v>4902873.629599344</v>
      </c>
      <c r="E302" s="32">
        <f>IF(INDEX(E_budgeted!$B$3:$G$13,MATCH($A302,E_budgeted!$A$3:$A$13,0),MATCH($A$298,E_budgeted!$B$2:$G$2,0))&gt;0,MIN('Breede-Olifants CMA'!E45,E_budgeted!E386),'Breede-Olifants CMA'!E45)</f>
        <v>4902873.629599344</v>
      </c>
      <c r="F302" s="32">
        <f>IF(INDEX(E_budgeted!$B$3:$G$13,MATCH($A302,E_budgeted!$A$3:$A$13,0),MATCH($A$298,E_budgeted!$B$2:$G$2,0))&gt;0,MIN('Breede-Olifants CMA'!F45,E_budgeted!F386),'Breede-Olifants CMA'!F45)</f>
        <v>4902873.629599344</v>
      </c>
      <c r="G302" s="32">
        <f>IF(INDEX(E_budgeted!$B$3:$G$13,MATCH($A302,E_budgeted!$A$3:$A$13,0),MATCH($A$298,E_budgeted!$B$2:$G$2,0))&gt;0,MIN('Breede-Olifants CMA'!G45,E_budgeted!G386),'Breede-Olifants CMA'!G45)</f>
        <v>4902873.629599344</v>
      </c>
      <c r="H302" s="32">
        <f>IF(INDEX(E_budgeted!$B$3:$G$13,MATCH($A302,E_budgeted!$A$3:$A$13,0),MATCH($A$298,E_budgeted!$B$2:$G$2,0))&gt;0,MIN('Breede-Olifants CMA'!H45,E_budgeted!H386),'Breede-Olifants CMA'!H45)</f>
        <v>4902873.629599344</v>
      </c>
      <c r="I302" s="32">
        <f>IF(INDEX(E_budgeted!$B$3:$G$13,MATCH($A302,E_budgeted!$A$3:$A$13,0),MATCH($A$298,E_budgeted!$B$2:$G$2,0))&gt;0,MIN('Breede-Olifants CMA'!I45,E_budgeted!I386),'Breede-Olifants CMA'!I45)</f>
        <v>4902873.629599344</v>
      </c>
      <c r="J302" s="32">
        <f>IF(INDEX(E_budgeted!$B$3:$G$13,MATCH($A302,E_budgeted!$A$3:$A$13,0),MATCH($A$298,E_budgeted!$B$2:$G$2,0))&gt;0,MIN('Breede-Olifants CMA'!J45,E_budgeted!J386),'Breede-Olifants CMA'!J45)</f>
        <v>4902873.629599344</v>
      </c>
      <c r="K302" s="32">
        <f>IF(INDEX(E_budgeted!$B$3:$G$13,MATCH($A302,E_budgeted!$A$3:$A$13,0),MATCH($A$298,E_budgeted!$B$2:$G$2,0))&gt;0,MIN('Breede-Olifants CMA'!K45,E_budgeted!K386),'Breede-Olifants CMA'!K45)</f>
        <v>4902873.629599344</v>
      </c>
      <c r="L302" s="5">
        <f t="shared" si="213"/>
        <v>4902873.6295993449</v>
      </c>
    </row>
    <row r="303" spans="1:12" x14ac:dyDescent="0.25">
      <c r="A303" s="4" t="s">
        <v>11</v>
      </c>
      <c r="B303" s="32">
        <f>IF(INDEX(E_budgeted!$B$3:$G$13,MATCH($A303,E_budgeted!$A$3:$A$13,0),MATCH($A$298,E_budgeted!$B$2:$G$2,0))&gt;0,MIN('Breede-Olifants CMA'!B46,E_budgeted!B387),'Breede-Olifants CMA'!B46)</f>
        <v>0</v>
      </c>
      <c r="C303" s="32">
        <f>IF(INDEX(E_budgeted!$B$3:$G$13,MATCH($A303,E_budgeted!$A$3:$A$13,0),MATCH($A$298,E_budgeted!$B$2:$G$2,0))&gt;0,MIN('Breede-Olifants CMA'!C46,E_budgeted!C387),'Breede-Olifants CMA'!C46)</f>
        <v>0</v>
      </c>
      <c r="D303" s="32">
        <f>IF(INDEX(E_budgeted!$B$3:$G$13,MATCH($A303,E_budgeted!$A$3:$A$13,0),MATCH($A$298,E_budgeted!$B$2:$G$2,0))&gt;0,MIN('Breede-Olifants CMA'!D46,E_budgeted!D387),'Breede-Olifants CMA'!D46)</f>
        <v>0</v>
      </c>
      <c r="E303" s="32">
        <f>IF(INDEX(E_budgeted!$B$3:$G$13,MATCH($A303,E_budgeted!$A$3:$A$13,0),MATCH($A$298,E_budgeted!$B$2:$G$2,0))&gt;0,MIN('Breede-Olifants CMA'!E46,E_budgeted!E387),'Breede-Olifants CMA'!E46)</f>
        <v>0</v>
      </c>
      <c r="F303" s="32">
        <f>IF(INDEX(E_budgeted!$B$3:$G$13,MATCH($A303,E_budgeted!$A$3:$A$13,0),MATCH($A$298,E_budgeted!$B$2:$G$2,0))&gt;0,MIN('Breede-Olifants CMA'!F46,E_budgeted!F387),'Breede-Olifants CMA'!F46)</f>
        <v>0</v>
      </c>
      <c r="G303" s="32">
        <f>IF(INDEX(E_budgeted!$B$3:$G$13,MATCH($A303,E_budgeted!$A$3:$A$13,0),MATCH($A$298,E_budgeted!$B$2:$G$2,0))&gt;0,MIN('Breede-Olifants CMA'!G46,E_budgeted!G387),'Breede-Olifants CMA'!G46)</f>
        <v>0</v>
      </c>
      <c r="H303" s="32">
        <f>IF(INDEX(E_budgeted!$B$3:$G$13,MATCH($A303,E_budgeted!$A$3:$A$13,0),MATCH($A$298,E_budgeted!$B$2:$G$2,0))&gt;0,MIN('Breede-Olifants CMA'!H46,E_budgeted!H387),'Breede-Olifants CMA'!H46)</f>
        <v>0</v>
      </c>
      <c r="I303" s="32">
        <f>IF(INDEX(E_budgeted!$B$3:$G$13,MATCH($A303,E_budgeted!$A$3:$A$13,0),MATCH($A$298,E_budgeted!$B$2:$G$2,0))&gt;0,MIN('Breede-Olifants CMA'!I46,E_budgeted!I387),'Breede-Olifants CMA'!I46)</f>
        <v>0</v>
      </c>
      <c r="J303" s="32">
        <f>IF(INDEX(E_budgeted!$B$3:$G$13,MATCH($A303,E_budgeted!$A$3:$A$13,0),MATCH($A$298,E_budgeted!$B$2:$G$2,0))&gt;0,MIN('Breede-Olifants CMA'!J46,E_budgeted!J387),'Breede-Olifants CMA'!J46)</f>
        <v>0</v>
      </c>
      <c r="K303" s="32">
        <f>IF(INDEX(E_budgeted!$B$3:$G$13,MATCH($A303,E_budgeted!$A$3:$A$13,0),MATCH($A$298,E_budgeted!$B$2:$G$2,0))&gt;0,MIN('Breede-Olifants CMA'!K46,E_budgeted!K387),'Breede-Olifants CMA'!K46)</f>
        <v>0</v>
      </c>
      <c r="L303" s="5">
        <f t="shared" si="213"/>
        <v>0</v>
      </c>
    </row>
    <row r="304" spans="1:12" x14ac:dyDescent="0.25">
      <c r="A304" s="4" t="s">
        <v>124</v>
      </c>
      <c r="B304" s="32">
        <f>IF(INDEX(E_budgeted!$B$3:$G$13,MATCH($A304,E_budgeted!$A$3:$A$13,0),MATCH($A$298,E_budgeted!$B$2:$G$2,0))&gt;0,MIN('Breede-Olifants CMA'!B47,E_budgeted!B388),'Breede-Olifants CMA'!B47)</f>
        <v>500000</v>
      </c>
      <c r="C304" s="32">
        <f>IF(INDEX(E_budgeted!$B$3:$G$13,MATCH($A304,E_budgeted!$A$3:$A$13,0),MATCH($A$298,E_budgeted!$B$2:$G$2,0))&gt;0,MIN('Breede-Olifants CMA'!C47,E_budgeted!C388),'Breede-Olifants CMA'!C47)</f>
        <v>500000</v>
      </c>
      <c r="D304" s="32">
        <f>IF(INDEX(E_budgeted!$B$3:$G$13,MATCH($A304,E_budgeted!$A$3:$A$13,0),MATCH($A$298,E_budgeted!$B$2:$G$2,0))&gt;0,MIN('Breede-Olifants CMA'!D47,E_budgeted!D388),'Breede-Olifants CMA'!D47)</f>
        <v>500000</v>
      </c>
      <c r="E304" s="32">
        <f>IF(INDEX(E_budgeted!$B$3:$G$13,MATCH($A304,E_budgeted!$A$3:$A$13,0),MATCH($A$298,E_budgeted!$B$2:$G$2,0))&gt;0,MIN('Breede-Olifants CMA'!E47,E_budgeted!E388),'Breede-Olifants CMA'!E47)</f>
        <v>500000</v>
      </c>
      <c r="F304" s="32">
        <f>IF(INDEX(E_budgeted!$B$3:$G$13,MATCH($A304,E_budgeted!$A$3:$A$13,0),MATCH($A$298,E_budgeted!$B$2:$G$2,0))&gt;0,MIN('Breede-Olifants CMA'!F47,E_budgeted!F388),'Breede-Olifants CMA'!F47)</f>
        <v>500000</v>
      </c>
      <c r="G304" s="32">
        <f>IF(INDEX(E_budgeted!$B$3:$G$13,MATCH($A304,E_budgeted!$A$3:$A$13,0),MATCH($A$298,E_budgeted!$B$2:$G$2,0))&gt;0,MIN('Breede-Olifants CMA'!G47,E_budgeted!G388),'Breede-Olifants CMA'!G47)</f>
        <v>500000</v>
      </c>
      <c r="H304" s="32">
        <f>IF(INDEX(E_budgeted!$B$3:$G$13,MATCH($A304,E_budgeted!$A$3:$A$13,0),MATCH($A$298,E_budgeted!$B$2:$G$2,0))&gt;0,MIN('Breede-Olifants CMA'!H47,E_budgeted!H388),'Breede-Olifants CMA'!H47)</f>
        <v>500000</v>
      </c>
      <c r="I304" s="32">
        <f>IF(INDEX(E_budgeted!$B$3:$G$13,MATCH($A304,E_budgeted!$A$3:$A$13,0),MATCH($A$298,E_budgeted!$B$2:$G$2,0))&gt;0,MIN('Breede-Olifants CMA'!I47,E_budgeted!I388),'Breede-Olifants CMA'!I47)</f>
        <v>500000</v>
      </c>
      <c r="J304" s="32">
        <f>IF(INDEX(E_budgeted!$B$3:$G$13,MATCH($A304,E_budgeted!$A$3:$A$13,0),MATCH($A$298,E_budgeted!$B$2:$G$2,0))&gt;0,MIN('Breede-Olifants CMA'!J47,E_budgeted!J388),'Breede-Olifants CMA'!J47)</f>
        <v>500000</v>
      </c>
      <c r="K304" s="32">
        <f>IF(INDEX(E_budgeted!$B$3:$G$13,MATCH($A304,E_budgeted!$A$3:$A$13,0),MATCH($A$298,E_budgeted!$B$2:$G$2,0))&gt;0,MIN('Breede-Olifants CMA'!K47,E_budgeted!K388),'Breede-Olifants CMA'!K47)</f>
        <v>500000</v>
      </c>
      <c r="L304" s="5">
        <f t="shared" si="213"/>
        <v>500000</v>
      </c>
    </row>
    <row r="305" spans="1:12" x14ac:dyDescent="0.25">
      <c r="A305" s="4" t="s">
        <v>12</v>
      </c>
      <c r="B305" s="32">
        <f>IF(INDEX(E_budgeted!$B$3:$G$13,MATCH($A305,E_budgeted!$A$3:$A$13,0),MATCH($A$298,E_budgeted!$B$2:$G$2,0))&gt;0,MIN('Breede-Olifants CMA'!B48,E_budgeted!B389),'Breede-Olifants CMA'!B48)</f>
        <v>28194002.588429004</v>
      </c>
      <c r="C305" s="32">
        <f>IF(INDEX(E_budgeted!$B$3:$G$13,MATCH($A305,E_budgeted!$A$3:$A$13,0),MATCH($A$298,E_budgeted!$B$2:$G$2,0))&gt;0,MIN('Breede-Olifants CMA'!C48,E_budgeted!C389),'Breede-Olifants CMA'!C48)</f>
        <v>28194002.588429004</v>
      </c>
      <c r="D305" s="32">
        <f>IF(INDEX(E_budgeted!$B$3:$G$13,MATCH($A305,E_budgeted!$A$3:$A$13,0),MATCH($A$298,E_budgeted!$B$2:$G$2,0))&gt;0,MIN('Breede-Olifants CMA'!D48,E_budgeted!D389),'Breede-Olifants CMA'!D48)</f>
        <v>28194002.588429004</v>
      </c>
      <c r="E305" s="32">
        <f>IF(INDEX(E_budgeted!$B$3:$G$13,MATCH($A305,E_budgeted!$A$3:$A$13,0),MATCH($A$298,E_budgeted!$B$2:$G$2,0))&gt;0,MIN('Breede-Olifants CMA'!E48,E_budgeted!E389),'Breede-Olifants CMA'!E48)</f>
        <v>28194002.588429004</v>
      </c>
      <c r="F305" s="32">
        <f>IF(INDEX(E_budgeted!$B$3:$G$13,MATCH($A305,E_budgeted!$A$3:$A$13,0),MATCH($A$298,E_budgeted!$B$2:$G$2,0))&gt;0,MIN('Breede-Olifants CMA'!F48,E_budgeted!F389),'Breede-Olifants CMA'!F48)</f>
        <v>28194002.588429004</v>
      </c>
      <c r="G305" s="32">
        <f>IF(INDEX(E_budgeted!$B$3:$G$13,MATCH($A305,E_budgeted!$A$3:$A$13,0),MATCH($A$298,E_budgeted!$B$2:$G$2,0))&gt;0,MIN('Breede-Olifants CMA'!G48,E_budgeted!G389),'Breede-Olifants CMA'!G48)</f>
        <v>28194002.588429004</v>
      </c>
      <c r="H305" s="32">
        <f>IF(INDEX(E_budgeted!$B$3:$G$13,MATCH($A305,E_budgeted!$A$3:$A$13,0),MATCH($A$298,E_budgeted!$B$2:$G$2,0))&gt;0,MIN('Breede-Olifants CMA'!H48,E_budgeted!H389),'Breede-Olifants CMA'!H48)</f>
        <v>28194002.588429004</v>
      </c>
      <c r="I305" s="32">
        <f>IF(INDEX(E_budgeted!$B$3:$G$13,MATCH($A305,E_budgeted!$A$3:$A$13,0),MATCH($A$298,E_budgeted!$B$2:$G$2,0))&gt;0,MIN('Breede-Olifants CMA'!I48,E_budgeted!I389),'Breede-Olifants CMA'!I48)</f>
        <v>28194002.588429004</v>
      </c>
      <c r="J305" s="32">
        <f>IF(INDEX(E_budgeted!$B$3:$G$13,MATCH($A305,E_budgeted!$A$3:$A$13,0),MATCH($A$298,E_budgeted!$B$2:$G$2,0))&gt;0,MIN('Breede-Olifants CMA'!J48,E_budgeted!J389),'Breede-Olifants CMA'!J48)</f>
        <v>28194002.588429004</v>
      </c>
      <c r="K305" s="32">
        <f>IF(INDEX(E_budgeted!$B$3:$G$13,MATCH($A305,E_budgeted!$A$3:$A$13,0),MATCH($A$298,E_budgeted!$B$2:$G$2,0))&gt;0,MIN('Breede-Olifants CMA'!K48,E_budgeted!K389),'Breede-Olifants CMA'!K48)</f>
        <v>28194002.588429004</v>
      </c>
      <c r="L305" s="5">
        <f t="shared" si="213"/>
        <v>28194002.588429004</v>
      </c>
    </row>
    <row r="306" spans="1:12" x14ac:dyDescent="0.25">
      <c r="A306" s="4" t="s">
        <v>13</v>
      </c>
      <c r="B306" s="32">
        <f>IF(INDEX(E_budgeted!$B$3:$G$13,MATCH($A306,E_budgeted!$A$3:$A$13,0),MATCH($A$298,E_budgeted!$B$2:$G$2,0))&gt;0,MIN('Breede-Olifants CMA'!B49,E_budgeted!B390),'Breede-Olifants CMA'!B49)</f>
        <v>5078382.9124949528</v>
      </c>
      <c r="C306" s="32">
        <f>IF(INDEX(E_budgeted!$B$3:$G$13,MATCH($A306,E_budgeted!$A$3:$A$13,0),MATCH($A$298,E_budgeted!$B$2:$G$2,0))&gt;0,MIN('Breede-Olifants CMA'!C49,E_budgeted!C390),'Breede-Olifants CMA'!C49)</f>
        <v>5078382.9124949528</v>
      </c>
      <c r="D306" s="32">
        <f>IF(INDEX(E_budgeted!$B$3:$G$13,MATCH($A306,E_budgeted!$A$3:$A$13,0),MATCH($A$298,E_budgeted!$B$2:$G$2,0))&gt;0,MIN('Breede-Olifants CMA'!D49,E_budgeted!D390),'Breede-Olifants CMA'!D49)</f>
        <v>5078382.9124949528</v>
      </c>
      <c r="E306" s="32">
        <f>IF(INDEX(E_budgeted!$B$3:$G$13,MATCH($A306,E_budgeted!$A$3:$A$13,0),MATCH($A$298,E_budgeted!$B$2:$G$2,0))&gt;0,MIN('Breede-Olifants CMA'!E49,E_budgeted!E390),'Breede-Olifants CMA'!E49)</f>
        <v>5078382.9124949528</v>
      </c>
      <c r="F306" s="32">
        <f>IF(INDEX(E_budgeted!$B$3:$G$13,MATCH($A306,E_budgeted!$A$3:$A$13,0),MATCH($A$298,E_budgeted!$B$2:$G$2,0))&gt;0,MIN('Breede-Olifants CMA'!F49,E_budgeted!F390),'Breede-Olifants CMA'!F49)</f>
        <v>5078382.9124949528</v>
      </c>
      <c r="G306" s="32">
        <f>IF(INDEX(E_budgeted!$B$3:$G$13,MATCH($A306,E_budgeted!$A$3:$A$13,0),MATCH($A$298,E_budgeted!$B$2:$G$2,0))&gt;0,MIN('Breede-Olifants CMA'!G49,E_budgeted!G390),'Breede-Olifants CMA'!G49)</f>
        <v>5078382.9124949528</v>
      </c>
      <c r="H306" s="32">
        <f>IF(INDEX(E_budgeted!$B$3:$G$13,MATCH($A306,E_budgeted!$A$3:$A$13,0),MATCH($A$298,E_budgeted!$B$2:$G$2,0))&gt;0,MIN('Breede-Olifants CMA'!H49,E_budgeted!H390),'Breede-Olifants CMA'!H49)</f>
        <v>5078382.9124949528</v>
      </c>
      <c r="I306" s="32">
        <f>IF(INDEX(E_budgeted!$B$3:$G$13,MATCH($A306,E_budgeted!$A$3:$A$13,0),MATCH($A$298,E_budgeted!$B$2:$G$2,0))&gt;0,MIN('Breede-Olifants CMA'!I49,E_budgeted!I390),'Breede-Olifants CMA'!I49)</f>
        <v>5078382.9124949528</v>
      </c>
      <c r="J306" s="32">
        <f>IF(INDEX(E_budgeted!$B$3:$G$13,MATCH($A306,E_budgeted!$A$3:$A$13,0),MATCH($A$298,E_budgeted!$B$2:$G$2,0))&gt;0,MIN('Breede-Olifants CMA'!J49,E_budgeted!J390),'Breede-Olifants CMA'!J49)</f>
        <v>5078382.9124949528</v>
      </c>
      <c r="K306" s="32">
        <f>IF(INDEX(E_budgeted!$B$3:$G$13,MATCH($A306,E_budgeted!$A$3:$A$13,0),MATCH($A$298,E_budgeted!$B$2:$G$2,0))&gt;0,MIN('Breede-Olifants CMA'!K49,E_budgeted!K390),'Breede-Olifants CMA'!K49)</f>
        <v>5078382.9124949528</v>
      </c>
      <c r="L306" s="5">
        <f t="shared" si="213"/>
        <v>5078382.9124949519</v>
      </c>
    </row>
    <row r="307" spans="1:12" x14ac:dyDescent="0.25">
      <c r="A307" s="4" t="s">
        <v>14</v>
      </c>
      <c r="B307" s="32">
        <f>IF(INDEX(E_budgeted!$B$3:$G$13,MATCH($A307,E_budgeted!$A$3:$A$13,0),MATCH($A$298,E_budgeted!$B$2:$G$2,0))&gt;0,MIN('Breede-Olifants CMA'!B50,E_budgeted!B391),'Breede-Olifants CMA'!B50)</f>
        <v>0</v>
      </c>
      <c r="C307" s="32">
        <f>IF(INDEX(E_budgeted!$B$3:$G$13,MATCH($A307,E_budgeted!$A$3:$A$13,0),MATCH($A$298,E_budgeted!$B$2:$G$2,0))&gt;0,MIN('Breede-Olifants CMA'!C50,E_budgeted!C391),'Breede-Olifants CMA'!C50)</f>
        <v>0</v>
      </c>
      <c r="D307" s="32">
        <f>IF(INDEX(E_budgeted!$B$3:$G$13,MATCH($A307,E_budgeted!$A$3:$A$13,0),MATCH($A$298,E_budgeted!$B$2:$G$2,0))&gt;0,MIN('Breede-Olifants CMA'!D50,E_budgeted!D391),'Breede-Olifants CMA'!D50)</f>
        <v>0</v>
      </c>
      <c r="E307" s="32">
        <f>IF(INDEX(E_budgeted!$B$3:$G$13,MATCH($A307,E_budgeted!$A$3:$A$13,0),MATCH($A$298,E_budgeted!$B$2:$G$2,0))&gt;0,MIN('Breede-Olifants CMA'!E50,E_budgeted!E391),'Breede-Olifants CMA'!E50)</f>
        <v>0</v>
      </c>
      <c r="F307" s="32">
        <f>IF(INDEX(E_budgeted!$B$3:$G$13,MATCH($A307,E_budgeted!$A$3:$A$13,0),MATCH($A$298,E_budgeted!$B$2:$G$2,0))&gt;0,MIN('Breede-Olifants CMA'!F50,E_budgeted!F391),'Breede-Olifants CMA'!F50)</f>
        <v>0</v>
      </c>
      <c r="G307" s="32">
        <f>IF(INDEX(E_budgeted!$B$3:$G$13,MATCH($A307,E_budgeted!$A$3:$A$13,0),MATCH($A$298,E_budgeted!$B$2:$G$2,0))&gt;0,MIN('Breede-Olifants CMA'!G50,E_budgeted!G391),'Breede-Olifants CMA'!G50)</f>
        <v>0</v>
      </c>
      <c r="H307" s="32">
        <f>IF(INDEX(E_budgeted!$B$3:$G$13,MATCH($A307,E_budgeted!$A$3:$A$13,0),MATCH($A$298,E_budgeted!$B$2:$G$2,0))&gt;0,MIN('Breede-Olifants CMA'!H50,E_budgeted!H391),'Breede-Olifants CMA'!H50)</f>
        <v>0</v>
      </c>
      <c r="I307" s="32">
        <f>IF(INDEX(E_budgeted!$B$3:$G$13,MATCH($A307,E_budgeted!$A$3:$A$13,0),MATCH($A$298,E_budgeted!$B$2:$G$2,0))&gt;0,MIN('Breede-Olifants CMA'!I50,E_budgeted!I391),'Breede-Olifants CMA'!I50)</f>
        <v>0</v>
      </c>
      <c r="J307" s="32">
        <f>IF(INDEX(E_budgeted!$B$3:$G$13,MATCH($A307,E_budgeted!$A$3:$A$13,0),MATCH($A$298,E_budgeted!$B$2:$G$2,0))&gt;0,MIN('Breede-Olifants CMA'!J50,E_budgeted!J391),'Breede-Olifants CMA'!J50)</f>
        <v>0</v>
      </c>
      <c r="K307" s="32">
        <f>IF(INDEX(E_budgeted!$B$3:$G$13,MATCH($A307,E_budgeted!$A$3:$A$13,0),MATCH($A$298,E_budgeted!$B$2:$G$2,0))&gt;0,MIN('Breede-Olifants CMA'!K50,E_budgeted!K391),'Breede-Olifants CMA'!K50)</f>
        <v>0</v>
      </c>
      <c r="L307" s="5">
        <f t="shared" si="213"/>
        <v>0</v>
      </c>
    </row>
    <row r="308" spans="1:12" x14ac:dyDescent="0.25">
      <c r="A308" s="4" t="s">
        <v>125</v>
      </c>
      <c r="B308" s="32">
        <f>IF(INDEX(E_budgeted!$B$3:$G$13,MATCH($A308,E_budgeted!$A$3:$A$13,0),MATCH($A$298,E_budgeted!$B$2:$G$2,0))&gt;0,MIN('Breede-Olifants CMA'!B51,E_budgeted!B392),'Breede-Olifants CMA'!B51)</f>
        <v>932424.62467035465</v>
      </c>
      <c r="C308" s="32">
        <f>IF(INDEX(E_budgeted!$B$3:$G$13,MATCH($A308,E_budgeted!$A$3:$A$13,0),MATCH($A$298,E_budgeted!$B$2:$G$2,0))&gt;0,MIN('Breede-Olifants CMA'!C51,E_budgeted!C392),'Breede-Olifants CMA'!C51)</f>
        <v>932424.62467035465</v>
      </c>
      <c r="D308" s="32">
        <f>IF(INDEX(E_budgeted!$B$3:$G$13,MATCH($A308,E_budgeted!$A$3:$A$13,0),MATCH($A$298,E_budgeted!$B$2:$G$2,0))&gt;0,MIN('Breede-Olifants CMA'!D51,E_budgeted!D392),'Breede-Olifants CMA'!D51)</f>
        <v>932424.62467035465</v>
      </c>
      <c r="E308" s="32">
        <f>IF(INDEX(E_budgeted!$B$3:$G$13,MATCH($A308,E_budgeted!$A$3:$A$13,0),MATCH($A$298,E_budgeted!$B$2:$G$2,0))&gt;0,MIN('Breede-Olifants CMA'!E51,E_budgeted!E392),'Breede-Olifants CMA'!E51)</f>
        <v>932424.62467035465</v>
      </c>
      <c r="F308" s="32">
        <f>IF(INDEX(E_budgeted!$B$3:$G$13,MATCH($A308,E_budgeted!$A$3:$A$13,0),MATCH($A$298,E_budgeted!$B$2:$G$2,0))&gt;0,MIN('Breede-Olifants CMA'!F51,E_budgeted!F392),'Breede-Olifants CMA'!F51)</f>
        <v>932424.62467035465</v>
      </c>
      <c r="G308" s="32">
        <f>IF(INDEX(E_budgeted!$B$3:$G$13,MATCH($A308,E_budgeted!$A$3:$A$13,0),MATCH($A$298,E_budgeted!$B$2:$G$2,0))&gt;0,MIN('Breede-Olifants CMA'!G51,E_budgeted!G392),'Breede-Olifants CMA'!G51)</f>
        <v>932424.62467035465</v>
      </c>
      <c r="H308" s="32">
        <f>IF(INDEX(E_budgeted!$B$3:$G$13,MATCH($A308,E_budgeted!$A$3:$A$13,0),MATCH($A$298,E_budgeted!$B$2:$G$2,0))&gt;0,MIN('Breede-Olifants CMA'!H51,E_budgeted!H392),'Breede-Olifants CMA'!H51)</f>
        <v>932424.62467035465</v>
      </c>
      <c r="I308" s="32">
        <f>IF(INDEX(E_budgeted!$B$3:$G$13,MATCH($A308,E_budgeted!$A$3:$A$13,0),MATCH($A$298,E_budgeted!$B$2:$G$2,0))&gt;0,MIN('Breede-Olifants CMA'!I51,E_budgeted!I392),'Breede-Olifants CMA'!I51)</f>
        <v>932424.62467035465</v>
      </c>
      <c r="J308" s="32">
        <f>IF(INDEX(E_budgeted!$B$3:$G$13,MATCH($A308,E_budgeted!$A$3:$A$13,0),MATCH($A$298,E_budgeted!$B$2:$G$2,0))&gt;0,MIN('Breede-Olifants CMA'!J51,E_budgeted!J392),'Breede-Olifants CMA'!J51)</f>
        <v>932424.62467035465</v>
      </c>
      <c r="K308" s="32">
        <f>IF(INDEX(E_budgeted!$B$3:$G$13,MATCH($A308,E_budgeted!$A$3:$A$13,0),MATCH($A$298,E_budgeted!$B$2:$G$2,0))&gt;0,MIN('Breede-Olifants CMA'!K51,E_budgeted!K392),'Breede-Olifants CMA'!K51)</f>
        <v>932424.62467035465</v>
      </c>
      <c r="L308" s="5">
        <f t="shared" si="213"/>
        <v>932424.62467035465</v>
      </c>
    </row>
    <row r="309" spans="1:12" x14ac:dyDescent="0.25">
      <c r="A309" s="4" t="s">
        <v>37</v>
      </c>
      <c r="B309" s="32">
        <f>IF(INDEX(E_budgeted!$B$3:$G$13,MATCH($A309,E_budgeted!$A$3:$A$13,0),MATCH($A$298,E_budgeted!$B$2:$G$2,0))&gt;0,MIN('Breede-Olifants CMA'!B52,E_budgeted!B393),'Breede-Olifants CMA'!B52)</f>
        <v>23713039.406007089</v>
      </c>
      <c r="C309" s="32">
        <f>IF(INDEX(E_budgeted!$B$3:$G$13,MATCH($A309,E_budgeted!$A$3:$A$13,0),MATCH($A$298,E_budgeted!$B$2:$G$2,0))&gt;0,MIN('Breede-Olifants CMA'!C52,E_budgeted!C393),'Breede-Olifants CMA'!C52)</f>
        <v>23713039.406007089</v>
      </c>
      <c r="D309" s="32">
        <f>IF(INDEX(E_budgeted!$B$3:$G$13,MATCH($A309,E_budgeted!$A$3:$A$13,0),MATCH($A$298,E_budgeted!$B$2:$G$2,0))&gt;0,MIN('Breede-Olifants CMA'!D52,E_budgeted!D393),'Breede-Olifants CMA'!D52)</f>
        <v>23713039.406007089</v>
      </c>
      <c r="E309" s="32">
        <f>IF(INDEX(E_budgeted!$B$3:$G$13,MATCH($A309,E_budgeted!$A$3:$A$13,0),MATCH($A$298,E_budgeted!$B$2:$G$2,0))&gt;0,MIN('Breede-Olifants CMA'!E52,E_budgeted!E393),'Breede-Olifants CMA'!E52)</f>
        <v>23713039.406007089</v>
      </c>
      <c r="F309" s="32">
        <f>IF(INDEX(E_budgeted!$B$3:$G$13,MATCH($A309,E_budgeted!$A$3:$A$13,0),MATCH($A$298,E_budgeted!$B$2:$G$2,0))&gt;0,MIN('Breede-Olifants CMA'!F52,E_budgeted!F393),'Breede-Olifants CMA'!F52)</f>
        <v>23713039.406007089</v>
      </c>
      <c r="G309" s="32">
        <f>IF(INDEX(E_budgeted!$B$3:$G$13,MATCH($A309,E_budgeted!$A$3:$A$13,0),MATCH($A$298,E_budgeted!$B$2:$G$2,0))&gt;0,MIN('Breede-Olifants CMA'!G52,E_budgeted!G393),'Breede-Olifants CMA'!G52)</f>
        <v>23713039.406007089</v>
      </c>
      <c r="H309" s="32">
        <f>IF(INDEX(E_budgeted!$B$3:$G$13,MATCH($A309,E_budgeted!$A$3:$A$13,0),MATCH($A$298,E_budgeted!$B$2:$G$2,0))&gt;0,MIN('Breede-Olifants CMA'!H52,E_budgeted!H393),'Breede-Olifants CMA'!H52)</f>
        <v>23713039.406007089</v>
      </c>
      <c r="I309" s="32">
        <f>IF(INDEX(E_budgeted!$B$3:$G$13,MATCH($A309,E_budgeted!$A$3:$A$13,0),MATCH($A$298,E_budgeted!$B$2:$G$2,0))&gt;0,MIN('Breede-Olifants CMA'!I52,E_budgeted!I393),'Breede-Olifants CMA'!I52)</f>
        <v>23713039.406007089</v>
      </c>
      <c r="J309" s="32">
        <f>IF(INDEX(E_budgeted!$B$3:$G$13,MATCH($A309,E_budgeted!$A$3:$A$13,0),MATCH($A$298,E_budgeted!$B$2:$G$2,0))&gt;0,MIN('Breede-Olifants CMA'!J52,E_budgeted!J393),'Breede-Olifants CMA'!J52)</f>
        <v>23713039.406007089</v>
      </c>
      <c r="K309" s="32">
        <f>IF(INDEX(E_budgeted!$B$3:$G$13,MATCH($A309,E_budgeted!$A$3:$A$13,0),MATCH($A$298,E_budgeted!$B$2:$G$2,0))&gt;0,MIN('Breede-Olifants CMA'!K52,E_budgeted!K393),'Breede-Olifants CMA'!K52)</f>
        <v>23713039.406007089</v>
      </c>
      <c r="L309" s="5">
        <f t="shared" si="213"/>
        <v>23713039.406007085</v>
      </c>
    </row>
    <row r="310" spans="1:12" x14ac:dyDescent="0.25">
      <c r="A310" s="4" t="s">
        <v>38</v>
      </c>
      <c r="B310" s="32">
        <f>IF(INDEX(E_budgeted!$B$3:$G$13,MATCH($A310,E_budgeted!$A$3:$A$13,0),MATCH($A$298,E_budgeted!$B$2:$G$2,0))&gt;0,MIN('Breede-Olifants CMA'!B53,E_budgeted!B394),'Breede-Olifants CMA'!B53)</f>
        <v>3635738.4660753431</v>
      </c>
      <c r="C310" s="32">
        <f>IF(INDEX(E_budgeted!$B$3:$G$13,MATCH($A310,E_budgeted!$A$3:$A$13,0),MATCH($A$298,E_budgeted!$B$2:$G$2,0))&gt;0,MIN('Breede-Olifants CMA'!C53,E_budgeted!C394),'Breede-Olifants CMA'!C53)</f>
        <v>3635738.4660753431</v>
      </c>
      <c r="D310" s="32">
        <f>IF(INDEX(E_budgeted!$B$3:$G$13,MATCH($A310,E_budgeted!$A$3:$A$13,0),MATCH($A$298,E_budgeted!$B$2:$G$2,0))&gt;0,MIN('Breede-Olifants CMA'!D53,E_budgeted!D394),'Breede-Olifants CMA'!D53)</f>
        <v>3635738.4660753431</v>
      </c>
      <c r="E310" s="32">
        <f>IF(INDEX(E_budgeted!$B$3:$G$13,MATCH($A310,E_budgeted!$A$3:$A$13,0),MATCH($A$298,E_budgeted!$B$2:$G$2,0))&gt;0,MIN('Breede-Olifants CMA'!E53,E_budgeted!E394),'Breede-Olifants CMA'!E53)</f>
        <v>3635738.4660753431</v>
      </c>
      <c r="F310" s="32">
        <f>IF(INDEX(E_budgeted!$B$3:$G$13,MATCH($A310,E_budgeted!$A$3:$A$13,0),MATCH($A$298,E_budgeted!$B$2:$G$2,0))&gt;0,MIN('Breede-Olifants CMA'!F53,E_budgeted!F394),'Breede-Olifants CMA'!F53)</f>
        <v>3635738.4660753431</v>
      </c>
      <c r="G310" s="32">
        <f>IF(INDEX(E_budgeted!$B$3:$G$13,MATCH($A310,E_budgeted!$A$3:$A$13,0),MATCH($A$298,E_budgeted!$B$2:$G$2,0))&gt;0,MIN('Breede-Olifants CMA'!G53,E_budgeted!G394),'Breede-Olifants CMA'!G53)</f>
        <v>3635738.4660753431</v>
      </c>
      <c r="H310" s="32">
        <f>IF(INDEX(E_budgeted!$B$3:$G$13,MATCH($A310,E_budgeted!$A$3:$A$13,0),MATCH($A$298,E_budgeted!$B$2:$G$2,0))&gt;0,MIN('Breede-Olifants CMA'!H53,E_budgeted!H394),'Breede-Olifants CMA'!H53)</f>
        <v>3635738.4660753431</v>
      </c>
      <c r="I310" s="32">
        <f>IF(INDEX(E_budgeted!$B$3:$G$13,MATCH($A310,E_budgeted!$A$3:$A$13,0),MATCH($A$298,E_budgeted!$B$2:$G$2,0))&gt;0,MIN('Breede-Olifants CMA'!I53,E_budgeted!I394),'Breede-Olifants CMA'!I53)</f>
        <v>3635738.4660753431</v>
      </c>
      <c r="J310" s="32">
        <f>IF(INDEX(E_budgeted!$B$3:$G$13,MATCH($A310,E_budgeted!$A$3:$A$13,0),MATCH($A$298,E_budgeted!$B$2:$G$2,0))&gt;0,MIN('Breede-Olifants CMA'!J53,E_budgeted!J394),'Breede-Olifants CMA'!J53)</f>
        <v>3635738.4660753431</v>
      </c>
      <c r="K310" s="32">
        <f>IF(INDEX(E_budgeted!$B$3:$G$13,MATCH($A310,E_budgeted!$A$3:$A$13,0),MATCH($A$298,E_budgeted!$B$2:$G$2,0))&gt;0,MIN('Breede-Olifants CMA'!K53,E_budgeted!K394),'Breede-Olifants CMA'!K53)</f>
        <v>3635738.4660753431</v>
      </c>
      <c r="L310" s="5">
        <f t="shared" si="213"/>
        <v>3635738.4660753431</v>
      </c>
    </row>
    <row r="311" spans="1:12" x14ac:dyDescent="0.25">
      <c r="A311" s="4" t="s">
        <v>15</v>
      </c>
      <c r="B311" s="13">
        <f>IF(INDEX(E_budgeted!$B$3:$G$13,MATCH($A311,E_budgeted!$A$3:$A$13,0),MATCH($A$298,E_budgeted!$B$2:$G$2,0))&gt;0,MIN('Breede-Olifants CMA'!B54,E_budgeted!B395),'Breede-Olifants CMA'!B54)</f>
        <v>29380897.94441025</v>
      </c>
      <c r="C311" s="13">
        <f>IF(INDEX(E_budgeted!$B$3:$G$13,MATCH($A311,E_budgeted!$A$3:$A$13,0),MATCH($A$298,E_budgeted!$B$2:$G$2,0))&gt;0,MIN('Breede-Olifants CMA'!C54,E_budgeted!C395),'Breede-Olifants CMA'!C54)</f>
        <v>29380897.94441025</v>
      </c>
      <c r="D311" s="13">
        <f>IF(INDEX(E_budgeted!$B$3:$G$13,MATCH($A311,E_budgeted!$A$3:$A$13,0),MATCH($A$298,E_budgeted!$B$2:$G$2,0))&gt;0,MIN('Breede-Olifants CMA'!D54,E_budgeted!D395),'Breede-Olifants CMA'!D54)</f>
        <v>29380897.94441025</v>
      </c>
      <c r="E311" s="13">
        <f>IF(INDEX(E_budgeted!$B$3:$G$13,MATCH($A311,E_budgeted!$A$3:$A$13,0),MATCH($A$298,E_budgeted!$B$2:$G$2,0))&gt;0,MIN('Breede-Olifants CMA'!E54,E_budgeted!E395),'Breede-Olifants CMA'!E54)</f>
        <v>29380897.94441025</v>
      </c>
      <c r="F311" s="13">
        <f>IF(INDEX(E_budgeted!$B$3:$G$13,MATCH($A311,E_budgeted!$A$3:$A$13,0),MATCH($A$298,E_budgeted!$B$2:$G$2,0))&gt;0,MIN('Breede-Olifants CMA'!F54,E_budgeted!F395),'Breede-Olifants CMA'!F54)</f>
        <v>29380897.94441025</v>
      </c>
      <c r="G311" s="13">
        <f>IF(INDEX(E_budgeted!$B$3:$G$13,MATCH($A311,E_budgeted!$A$3:$A$13,0),MATCH($A$298,E_budgeted!$B$2:$G$2,0))&gt;0,MIN('Breede-Olifants CMA'!G54,E_budgeted!G395),'Breede-Olifants CMA'!G54)</f>
        <v>29380897.94441025</v>
      </c>
      <c r="H311" s="13">
        <f>IF(INDEX(E_budgeted!$B$3:$G$13,MATCH($A311,E_budgeted!$A$3:$A$13,0),MATCH($A$298,E_budgeted!$B$2:$G$2,0))&gt;0,MIN('Breede-Olifants CMA'!H54,E_budgeted!H395),'Breede-Olifants CMA'!H54)</f>
        <v>29380897.94441025</v>
      </c>
      <c r="I311" s="13">
        <f>IF(INDEX(E_budgeted!$B$3:$G$13,MATCH($A311,E_budgeted!$A$3:$A$13,0),MATCH($A$298,E_budgeted!$B$2:$G$2,0))&gt;0,MIN('Breede-Olifants CMA'!I54,E_budgeted!I395),'Breede-Olifants CMA'!I54)</f>
        <v>29380897.94441025</v>
      </c>
      <c r="J311" s="13">
        <f>IF(INDEX(E_budgeted!$B$3:$G$13,MATCH($A311,E_budgeted!$A$3:$A$13,0),MATCH($A$298,E_budgeted!$B$2:$G$2,0))&gt;0,MIN('Breede-Olifants CMA'!J54,E_budgeted!J395),'Breede-Olifants CMA'!J54)</f>
        <v>29380897.94441025</v>
      </c>
      <c r="K311" s="13">
        <f>IF(INDEX(E_budgeted!$B$3:$G$13,MATCH($A311,E_budgeted!$A$3:$A$13,0),MATCH($A$298,E_budgeted!$B$2:$G$2,0))&gt;0,MIN('Breede-Olifants CMA'!K54,E_budgeted!K395),'Breede-Olifants CMA'!K54)</f>
        <v>29380897.94441025</v>
      </c>
      <c r="L311" s="5">
        <f t="shared" si="213"/>
        <v>29380897.944410257</v>
      </c>
    </row>
    <row r="312" spans="1:12" x14ac:dyDescent="0.25">
      <c r="B312" s="5">
        <f t="shared" ref="B312:K312" si="214">SUM(B301:B311)</f>
        <v>105281215.73276597</v>
      </c>
      <c r="C312" s="5">
        <f t="shared" si="214"/>
        <v>105281215.73276597</v>
      </c>
      <c r="D312" s="5">
        <f t="shared" si="214"/>
        <v>105281215.73276597</v>
      </c>
      <c r="E312" s="5">
        <f t="shared" si="214"/>
        <v>105281215.73276597</v>
      </c>
      <c r="F312" s="5">
        <f t="shared" si="214"/>
        <v>105281215.73276597</v>
      </c>
      <c r="G312" s="5">
        <f t="shared" si="214"/>
        <v>105281215.73276597</v>
      </c>
      <c r="H312" s="5">
        <f t="shared" si="214"/>
        <v>105281215.73276597</v>
      </c>
      <c r="I312" s="5">
        <f t="shared" si="214"/>
        <v>105281215.73276597</v>
      </c>
      <c r="J312" s="5">
        <f t="shared" si="214"/>
        <v>105281215.73276597</v>
      </c>
      <c r="K312" s="5">
        <f t="shared" si="214"/>
        <v>105281215.73276597</v>
      </c>
      <c r="L312" s="5"/>
    </row>
    <row r="314" spans="1:12" ht="30" x14ac:dyDescent="0.25">
      <c r="A314" s="15" t="s">
        <v>56</v>
      </c>
      <c r="B314" s="12" t="str">
        <f>'Summary dashboard'!C4</f>
        <v>2023</v>
      </c>
      <c r="C314" s="12">
        <f t="shared" ref="C314" si="215">B314+1</f>
        <v>2024</v>
      </c>
      <c r="D314" s="12">
        <f t="shared" ref="D314" si="216">C314+1</f>
        <v>2025</v>
      </c>
      <c r="E314" s="12">
        <f t="shared" ref="E314" si="217">D314+1</f>
        <v>2026</v>
      </c>
      <c r="F314" s="12">
        <f t="shared" ref="F314" si="218">E314+1</f>
        <v>2027</v>
      </c>
      <c r="G314" s="12">
        <f t="shared" ref="G314" si="219">F314+1</f>
        <v>2028</v>
      </c>
      <c r="H314" s="12">
        <f t="shared" ref="H314" si="220">G314+1</f>
        <v>2029</v>
      </c>
      <c r="I314" s="12">
        <f t="shared" ref="I314" si="221">H314+1</f>
        <v>2030</v>
      </c>
      <c r="J314" s="12">
        <f t="shared" ref="J314" si="222">I314+1</f>
        <v>2031</v>
      </c>
      <c r="K314" s="12">
        <f t="shared" ref="K314" si="223">J314+1</f>
        <v>2032</v>
      </c>
      <c r="L314" s="1" t="s">
        <v>28</v>
      </c>
    </row>
    <row r="315" spans="1:12" x14ac:dyDescent="0.25">
      <c r="A315" s="4" t="s">
        <v>35</v>
      </c>
      <c r="B315" s="32">
        <f>IF(INDEX(E_budgeted!$B$3:$G$13,MATCH($A315,E_budgeted!$A$3:$A$13,0),MATCH($A$298,E_budgeted!$B$2:$G$2,0))&gt;0,MIN('Breede-Olifants CMA'!B58,E_budgeted!B399),'Breede-Olifants CMA'!B58)</f>
        <v>6886769.2440313241</v>
      </c>
      <c r="C315" s="32">
        <f>IF(INDEX(E_budgeted!$B$3:$G$13,MATCH($A315,E_budgeted!$A$3:$A$13,0),MATCH($A$298,E_budgeted!$B$2:$G$2,0))&gt;0,MIN('Breede-Olifants CMA'!C58,E_budgeted!C399),'Breede-Olifants CMA'!C58)</f>
        <v>6886769.2440313241</v>
      </c>
      <c r="D315" s="32">
        <f>IF(INDEX(E_budgeted!$B$3:$G$13,MATCH($A315,E_budgeted!$A$3:$A$13,0),MATCH($A$298,E_budgeted!$B$2:$G$2,0))&gt;0,MIN('Breede-Olifants CMA'!D58,E_budgeted!D399),'Breede-Olifants CMA'!D58)</f>
        <v>6886769.2440313241</v>
      </c>
      <c r="E315" s="32">
        <f>IF(INDEX(E_budgeted!$B$3:$G$13,MATCH($A315,E_budgeted!$A$3:$A$13,0),MATCH($A$298,E_budgeted!$B$2:$G$2,0))&gt;0,MIN('Breede-Olifants CMA'!E58,E_budgeted!E399),'Breede-Olifants CMA'!E58)</f>
        <v>6886769.2440313241</v>
      </c>
      <c r="F315" s="32">
        <f>IF(INDEX(E_budgeted!$B$3:$G$13,MATCH($A315,E_budgeted!$A$3:$A$13,0),MATCH($A$298,E_budgeted!$B$2:$G$2,0))&gt;0,MIN('Breede-Olifants CMA'!F58,E_budgeted!F399),'Breede-Olifants CMA'!F58)</f>
        <v>6886769.2440313241</v>
      </c>
      <c r="G315" s="32">
        <f>IF(INDEX(E_budgeted!$B$3:$G$13,MATCH($A315,E_budgeted!$A$3:$A$13,0),MATCH($A$298,E_budgeted!$B$2:$G$2,0))&gt;0,MIN('Breede-Olifants CMA'!G58,E_budgeted!G399),'Breede-Olifants CMA'!G58)</f>
        <v>6886769.2440313241</v>
      </c>
      <c r="H315" s="32">
        <f>IF(INDEX(E_budgeted!$B$3:$G$13,MATCH($A315,E_budgeted!$A$3:$A$13,0),MATCH($A$298,E_budgeted!$B$2:$G$2,0))&gt;0,MIN('Breede-Olifants CMA'!H58,E_budgeted!H399),'Breede-Olifants CMA'!H58)</f>
        <v>6886769.2440313241</v>
      </c>
      <c r="I315" s="32">
        <f>IF(INDEX(E_budgeted!$B$3:$G$13,MATCH($A315,E_budgeted!$A$3:$A$13,0),MATCH($A$298,E_budgeted!$B$2:$G$2,0))&gt;0,MIN('Breede-Olifants CMA'!I58,E_budgeted!I399),'Breede-Olifants CMA'!I58)</f>
        <v>6886769.2440313241</v>
      </c>
      <c r="J315" s="32">
        <f>IF(INDEX(E_budgeted!$B$3:$G$13,MATCH($A315,E_budgeted!$A$3:$A$13,0),MATCH($A$298,E_budgeted!$B$2:$G$2,0))&gt;0,MIN('Breede-Olifants CMA'!J58,E_budgeted!J399),'Breede-Olifants CMA'!J58)</f>
        <v>6886769.2440313241</v>
      </c>
      <c r="K315" s="32">
        <f>IF(INDEX(E_budgeted!$B$3:$G$13,MATCH($A315,E_budgeted!$A$3:$A$13,0),MATCH($A$298,E_budgeted!$B$2:$G$2,0))&gt;0,MIN('Breede-Olifants CMA'!K58,E_budgeted!K399),'Breede-Olifants CMA'!K58)</f>
        <v>6886769.2440313241</v>
      </c>
      <c r="L315" s="5">
        <f t="shared" ref="L315:L325" si="224">AVERAGE(B315:K315)</f>
        <v>6886769.2440313231</v>
      </c>
    </row>
    <row r="316" spans="1:12" x14ac:dyDescent="0.25">
      <c r="A316" s="4" t="s">
        <v>36</v>
      </c>
      <c r="B316" s="32">
        <f>IF(INDEX(E_budgeted!$B$3:$G$13,MATCH($A316,E_budgeted!$A$3:$A$13,0),MATCH($A$298,E_budgeted!$B$2:$G$2,0))&gt;0,MIN('Breede-Olifants CMA'!B59,E_budgeted!B400),'Breede-Olifants CMA'!B59)</f>
        <v>1470862.0888798034</v>
      </c>
      <c r="C316" s="32">
        <f>IF(INDEX(E_budgeted!$B$3:$G$13,MATCH($A316,E_budgeted!$A$3:$A$13,0),MATCH($A$298,E_budgeted!$B$2:$G$2,0))&gt;0,MIN('Breede-Olifants CMA'!C59,E_budgeted!C400),'Breede-Olifants CMA'!C59)</f>
        <v>1470862.0888798034</v>
      </c>
      <c r="D316" s="32">
        <f>IF(INDEX(E_budgeted!$B$3:$G$13,MATCH($A316,E_budgeted!$A$3:$A$13,0),MATCH($A$298,E_budgeted!$B$2:$G$2,0))&gt;0,MIN('Breede-Olifants CMA'!D59,E_budgeted!D400),'Breede-Olifants CMA'!D59)</f>
        <v>1470862.0888798034</v>
      </c>
      <c r="E316" s="32">
        <f>IF(INDEX(E_budgeted!$B$3:$G$13,MATCH($A316,E_budgeted!$A$3:$A$13,0),MATCH($A$298,E_budgeted!$B$2:$G$2,0))&gt;0,MIN('Breede-Olifants CMA'!E59,E_budgeted!E400),'Breede-Olifants CMA'!E59)</f>
        <v>1470862.0888798034</v>
      </c>
      <c r="F316" s="32">
        <f>IF(INDEX(E_budgeted!$B$3:$G$13,MATCH($A316,E_budgeted!$A$3:$A$13,0),MATCH($A$298,E_budgeted!$B$2:$G$2,0))&gt;0,MIN('Breede-Olifants CMA'!F59,E_budgeted!F400),'Breede-Olifants CMA'!F59)</f>
        <v>1470862.0888798034</v>
      </c>
      <c r="G316" s="32">
        <f>IF(INDEX(E_budgeted!$B$3:$G$13,MATCH($A316,E_budgeted!$A$3:$A$13,0),MATCH($A$298,E_budgeted!$B$2:$G$2,0))&gt;0,MIN('Breede-Olifants CMA'!G59,E_budgeted!G400),'Breede-Olifants CMA'!G59)</f>
        <v>1470862.0888798034</v>
      </c>
      <c r="H316" s="32">
        <f>IF(INDEX(E_budgeted!$B$3:$G$13,MATCH($A316,E_budgeted!$A$3:$A$13,0),MATCH($A$298,E_budgeted!$B$2:$G$2,0))&gt;0,MIN('Breede-Olifants CMA'!H59,E_budgeted!H400),'Breede-Olifants CMA'!H59)</f>
        <v>1470862.0888798034</v>
      </c>
      <c r="I316" s="32">
        <f>IF(INDEX(E_budgeted!$B$3:$G$13,MATCH($A316,E_budgeted!$A$3:$A$13,0),MATCH($A$298,E_budgeted!$B$2:$G$2,0))&gt;0,MIN('Breede-Olifants CMA'!I59,E_budgeted!I400),'Breede-Olifants CMA'!I59)</f>
        <v>1470862.0888798034</v>
      </c>
      <c r="J316" s="32">
        <f>IF(INDEX(E_budgeted!$B$3:$G$13,MATCH($A316,E_budgeted!$A$3:$A$13,0),MATCH($A$298,E_budgeted!$B$2:$G$2,0))&gt;0,MIN('Breede-Olifants CMA'!J59,E_budgeted!J400),'Breede-Olifants CMA'!J59)</f>
        <v>1470862.0888798034</v>
      </c>
      <c r="K316" s="32">
        <f>IF(INDEX(E_budgeted!$B$3:$G$13,MATCH($A316,E_budgeted!$A$3:$A$13,0),MATCH($A$298,E_budgeted!$B$2:$G$2,0))&gt;0,MIN('Breede-Olifants CMA'!K59,E_budgeted!K400),'Breede-Olifants CMA'!K59)</f>
        <v>1470862.0888798034</v>
      </c>
      <c r="L316" s="5">
        <f t="shared" si="224"/>
        <v>1470862.0888798034</v>
      </c>
    </row>
    <row r="317" spans="1:12" x14ac:dyDescent="0.25">
      <c r="A317" s="4" t="s">
        <v>11</v>
      </c>
      <c r="B317" s="32">
        <f>IF(INDEX(E_budgeted!$B$3:$G$13,MATCH($A317,E_budgeted!$A$3:$A$13,0),MATCH($A$298,E_budgeted!$B$2:$G$2,0))&gt;0,MIN('Breede-Olifants CMA'!B60,E_budgeted!B401),'Breede-Olifants CMA'!B60)</f>
        <v>0</v>
      </c>
      <c r="C317" s="32">
        <f>IF(INDEX(E_budgeted!$B$3:$G$13,MATCH($A317,E_budgeted!$A$3:$A$13,0),MATCH($A$298,E_budgeted!$B$2:$G$2,0))&gt;0,MIN('Breede-Olifants CMA'!C60,E_budgeted!C401),'Breede-Olifants CMA'!C60)</f>
        <v>0</v>
      </c>
      <c r="D317" s="32">
        <f>IF(INDEX(E_budgeted!$B$3:$G$13,MATCH($A317,E_budgeted!$A$3:$A$13,0),MATCH($A$298,E_budgeted!$B$2:$G$2,0))&gt;0,MIN('Breede-Olifants CMA'!D60,E_budgeted!D401),'Breede-Olifants CMA'!D60)</f>
        <v>0</v>
      </c>
      <c r="E317" s="32">
        <f>IF(INDEX(E_budgeted!$B$3:$G$13,MATCH($A317,E_budgeted!$A$3:$A$13,0),MATCH($A$298,E_budgeted!$B$2:$G$2,0))&gt;0,MIN('Breede-Olifants CMA'!E60,E_budgeted!E401),'Breede-Olifants CMA'!E60)</f>
        <v>0</v>
      </c>
      <c r="F317" s="32">
        <f>IF(INDEX(E_budgeted!$B$3:$G$13,MATCH($A317,E_budgeted!$A$3:$A$13,0),MATCH($A$298,E_budgeted!$B$2:$G$2,0))&gt;0,MIN('Breede-Olifants CMA'!F60,E_budgeted!F401),'Breede-Olifants CMA'!F60)</f>
        <v>0</v>
      </c>
      <c r="G317" s="32">
        <f>IF(INDEX(E_budgeted!$B$3:$G$13,MATCH($A317,E_budgeted!$A$3:$A$13,0),MATCH($A$298,E_budgeted!$B$2:$G$2,0))&gt;0,MIN('Breede-Olifants CMA'!G60,E_budgeted!G401),'Breede-Olifants CMA'!G60)</f>
        <v>0</v>
      </c>
      <c r="H317" s="32">
        <f>IF(INDEX(E_budgeted!$B$3:$G$13,MATCH($A317,E_budgeted!$A$3:$A$13,0),MATCH($A$298,E_budgeted!$B$2:$G$2,0))&gt;0,MIN('Breede-Olifants CMA'!H60,E_budgeted!H401),'Breede-Olifants CMA'!H60)</f>
        <v>0</v>
      </c>
      <c r="I317" s="32">
        <f>IF(INDEX(E_budgeted!$B$3:$G$13,MATCH($A317,E_budgeted!$A$3:$A$13,0),MATCH($A$298,E_budgeted!$B$2:$G$2,0))&gt;0,MIN('Breede-Olifants CMA'!I60,E_budgeted!I401),'Breede-Olifants CMA'!I60)</f>
        <v>0</v>
      </c>
      <c r="J317" s="32">
        <f>IF(INDEX(E_budgeted!$B$3:$G$13,MATCH($A317,E_budgeted!$A$3:$A$13,0),MATCH($A$298,E_budgeted!$B$2:$G$2,0))&gt;0,MIN('Breede-Olifants CMA'!J60,E_budgeted!J401),'Breede-Olifants CMA'!J60)</f>
        <v>0</v>
      </c>
      <c r="K317" s="32">
        <f>IF(INDEX(E_budgeted!$B$3:$G$13,MATCH($A317,E_budgeted!$A$3:$A$13,0),MATCH($A$298,E_budgeted!$B$2:$G$2,0))&gt;0,MIN('Breede-Olifants CMA'!K60,E_budgeted!K401),'Breede-Olifants CMA'!K60)</f>
        <v>0</v>
      </c>
      <c r="L317" s="5">
        <f t="shared" si="224"/>
        <v>0</v>
      </c>
    </row>
    <row r="318" spans="1:12" x14ac:dyDescent="0.25">
      <c r="A318" s="4" t="s">
        <v>124</v>
      </c>
      <c r="B318" s="32">
        <f>IF(INDEX(E_budgeted!$B$3:$G$13,MATCH($A318,E_budgeted!$A$3:$A$13,0),MATCH($A$298,E_budgeted!$B$2:$G$2,0))&gt;0,MIN('Breede-Olifants CMA'!B61,E_budgeted!B402),'Breede-Olifants CMA'!B61)</f>
        <v>399999.99999999994</v>
      </c>
      <c r="C318" s="32">
        <f>IF(INDEX(E_budgeted!$B$3:$G$13,MATCH($A318,E_budgeted!$A$3:$A$13,0),MATCH($A$298,E_budgeted!$B$2:$G$2,0))&gt;0,MIN('Breede-Olifants CMA'!C61,E_budgeted!C402),'Breede-Olifants CMA'!C61)</f>
        <v>399999.99999999994</v>
      </c>
      <c r="D318" s="32">
        <f>IF(INDEX(E_budgeted!$B$3:$G$13,MATCH($A318,E_budgeted!$A$3:$A$13,0),MATCH($A$298,E_budgeted!$B$2:$G$2,0))&gt;0,MIN('Breede-Olifants CMA'!D61,E_budgeted!D402),'Breede-Olifants CMA'!D61)</f>
        <v>399999.99999999994</v>
      </c>
      <c r="E318" s="32">
        <f>IF(INDEX(E_budgeted!$B$3:$G$13,MATCH($A318,E_budgeted!$A$3:$A$13,0),MATCH($A$298,E_budgeted!$B$2:$G$2,0))&gt;0,MIN('Breede-Olifants CMA'!E61,E_budgeted!E402),'Breede-Olifants CMA'!E61)</f>
        <v>399999.99999999994</v>
      </c>
      <c r="F318" s="32">
        <f>IF(INDEX(E_budgeted!$B$3:$G$13,MATCH($A318,E_budgeted!$A$3:$A$13,0),MATCH($A$298,E_budgeted!$B$2:$G$2,0))&gt;0,MIN('Breede-Olifants CMA'!F61,E_budgeted!F402),'Breede-Olifants CMA'!F61)</f>
        <v>399999.99999999994</v>
      </c>
      <c r="G318" s="32">
        <f>IF(INDEX(E_budgeted!$B$3:$G$13,MATCH($A318,E_budgeted!$A$3:$A$13,0),MATCH($A$298,E_budgeted!$B$2:$G$2,0))&gt;0,MIN('Breede-Olifants CMA'!G61,E_budgeted!G402),'Breede-Olifants CMA'!G61)</f>
        <v>399999.99999999994</v>
      </c>
      <c r="H318" s="32">
        <f>IF(INDEX(E_budgeted!$B$3:$G$13,MATCH($A318,E_budgeted!$A$3:$A$13,0),MATCH($A$298,E_budgeted!$B$2:$G$2,0))&gt;0,MIN('Breede-Olifants CMA'!H61,E_budgeted!H402),'Breede-Olifants CMA'!H61)</f>
        <v>399999.99999999994</v>
      </c>
      <c r="I318" s="32">
        <f>IF(INDEX(E_budgeted!$B$3:$G$13,MATCH($A318,E_budgeted!$A$3:$A$13,0),MATCH($A$298,E_budgeted!$B$2:$G$2,0))&gt;0,MIN('Breede-Olifants CMA'!I61,E_budgeted!I402),'Breede-Olifants CMA'!I61)</f>
        <v>399999.99999999994</v>
      </c>
      <c r="J318" s="32">
        <f>IF(INDEX(E_budgeted!$B$3:$G$13,MATCH($A318,E_budgeted!$A$3:$A$13,0),MATCH($A$298,E_budgeted!$B$2:$G$2,0))&gt;0,MIN('Breede-Olifants CMA'!J61,E_budgeted!J402),'Breede-Olifants CMA'!J61)</f>
        <v>399999.99999999994</v>
      </c>
      <c r="K318" s="32">
        <f>IF(INDEX(E_budgeted!$B$3:$G$13,MATCH($A318,E_budgeted!$A$3:$A$13,0),MATCH($A$298,E_budgeted!$B$2:$G$2,0))&gt;0,MIN('Breede-Olifants CMA'!K61,E_budgeted!K402),'Breede-Olifants CMA'!K61)</f>
        <v>399999.99999999994</v>
      </c>
      <c r="L318" s="5">
        <f t="shared" si="224"/>
        <v>399999.99999999994</v>
      </c>
    </row>
    <row r="319" spans="1:12" x14ac:dyDescent="0.25">
      <c r="A319" s="4" t="s">
        <v>12</v>
      </c>
      <c r="B319" s="32">
        <f>IF(INDEX(E_budgeted!$B$3:$G$13,MATCH($A319,E_budgeted!$A$3:$A$13,0),MATCH($A$298,E_budgeted!$B$2:$G$2,0))&gt;0,MIN('Breede-Olifants CMA'!B62,E_budgeted!B403),'Breede-Olifants CMA'!B62)</f>
        <v>2819400.2588429004</v>
      </c>
      <c r="C319" s="32">
        <f>IF(INDEX(E_budgeted!$B$3:$G$13,MATCH($A319,E_budgeted!$A$3:$A$13,0),MATCH($A$298,E_budgeted!$B$2:$G$2,0))&gt;0,MIN('Breede-Olifants CMA'!C62,E_budgeted!C403),'Breede-Olifants CMA'!C62)</f>
        <v>2819400.2588429004</v>
      </c>
      <c r="D319" s="32">
        <f>IF(INDEX(E_budgeted!$B$3:$G$13,MATCH($A319,E_budgeted!$A$3:$A$13,0),MATCH($A$298,E_budgeted!$B$2:$G$2,0))&gt;0,MIN('Breede-Olifants CMA'!D62,E_budgeted!D403),'Breede-Olifants CMA'!D62)</f>
        <v>2819400.2588429004</v>
      </c>
      <c r="E319" s="32">
        <f>IF(INDEX(E_budgeted!$B$3:$G$13,MATCH($A319,E_budgeted!$A$3:$A$13,0),MATCH($A$298,E_budgeted!$B$2:$G$2,0))&gt;0,MIN('Breede-Olifants CMA'!E62,E_budgeted!E403),'Breede-Olifants CMA'!E62)</f>
        <v>2819400.2588429004</v>
      </c>
      <c r="F319" s="32">
        <f>IF(INDEX(E_budgeted!$B$3:$G$13,MATCH($A319,E_budgeted!$A$3:$A$13,0),MATCH($A$298,E_budgeted!$B$2:$G$2,0))&gt;0,MIN('Breede-Olifants CMA'!F62,E_budgeted!F403),'Breede-Olifants CMA'!F62)</f>
        <v>2819400.2588429004</v>
      </c>
      <c r="G319" s="32">
        <f>IF(INDEX(E_budgeted!$B$3:$G$13,MATCH($A319,E_budgeted!$A$3:$A$13,0),MATCH($A$298,E_budgeted!$B$2:$G$2,0))&gt;0,MIN('Breede-Olifants CMA'!G62,E_budgeted!G403),'Breede-Olifants CMA'!G62)</f>
        <v>2819400.2588429004</v>
      </c>
      <c r="H319" s="32">
        <f>IF(INDEX(E_budgeted!$B$3:$G$13,MATCH($A319,E_budgeted!$A$3:$A$13,0),MATCH($A$298,E_budgeted!$B$2:$G$2,0))&gt;0,MIN('Breede-Olifants CMA'!H62,E_budgeted!H403),'Breede-Olifants CMA'!H62)</f>
        <v>2819400.2588429004</v>
      </c>
      <c r="I319" s="32">
        <f>IF(INDEX(E_budgeted!$B$3:$G$13,MATCH($A319,E_budgeted!$A$3:$A$13,0),MATCH($A$298,E_budgeted!$B$2:$G$2,0))&gt;0,MIN('Breede-Olifants CMA'!I62,E_budgeted!I403),'Breede-Olifants CMA'!I62)</f>
        <v>2819400.2588429004</v>
      </c>
      <c r="J319" s="32">
        <f>IF(INDEX(E_budgeted!$B$3:$G$13,MATCH($A319,E_budgeted!$A$3:$A$13,0),MATCH($A$298,E_budgeted!$B$2:$G$2,0))&gt;0,MIN('Breede-Olifants CMA'!J62,E_budgeted!J403),'Breede-Olifants CMA'!J62)</f>
        <v>2819400.2588429004</v>
      </c>
      <c r="K319" s="32">
        <f>IF(INDEX(E_budgeted!$B$3:$G$13,MATCH($A319,E_budgeted!$A$3:$A$13,0),MATCH($A$298,E_budgeted!$B$2:$G$2,0))&gt;0,MIN('Breede-Olifants CMA'!K62,E_budgeted!K403),'Breede-Olifants CMA'!K62)</f>
        <v>2819400.2588429004</v>
      </c>
      <c r="L319" s="5">
        <f t="shared" si="224"/>
        <v>2819400.2588429004</v>
      </c>
    </row>
    <row r="320" spans="1:12" x14ac:dyDescent="0.25">
      <c r="A320" s="4" t="s">
        <v>13</v>
      </c>
      <c r="B320" s="32">
        <f>IF(INDEX(E_budgeted!$B$3:$G$13,MATCH($A320,E_budgeted!$A$3:$A$13,0),MATCH($A$298,E_budgeted!$B$2:$G$2,0))&gt;0,MIN('Breede-Olifants CMA'!B63,E_budgeted!B404),'Breede-Olifants CMA'!B63)</f>
        <v>2031353.1649979812</v>
      </c>
      <c r="C320" s="32">
        <f>IF(INDEX(E_budgeted!$B$3:$G$13,MATCH($A320,E_budgeted!$A$3:$A$13,0),MATCH($A$298,E_budgeted!$B$2:$G$2,0))&gt;0,MIN('Breede-Olifants CMA'!C63,E_budgeted!C404),'Breede-Olifants CMA'!C63)</f>
        <v>2031353.1649979812</v>
      </c>
      <c r="D320" s="32">
        <f>IF(INDEX(E_budgeted!$B$3:$G$13,MATCH($A320,E_budgeted!$A$3:$A$13,0),MATCH($A$298,E_budgeted!$B$2:$G$2,0))&gt;0,MIN('Breede-Olifants CMA'!D63,E_budgeted!D404),'Breede-Olifants CMA'!D63)</f>
        <v>2031353.1649979812</v>
      </c>
      <c r="E320" s="32">
        <f>IF(INDEX(E_budgeted!$B$3:$G$13,MATCH($A320,E_budgeted!$A$3:$A$13,0),MATCH($A$298,E_budgeted!$B$2:$G$2,0))&gt;0,MIN('Breede-Olifants CMA'!E63,E_budgeted!E404),'Breede-Olifants CMA'!E63)</f>
        <v>2031353.1649979812</v>
      </c>
      <c r="F320" s="32">
        <f>IF(INDEX(E_budgeted!$B$3:$G$13,MATCH($A320,E_budgeted!$A$3:$A$13,0),MATCH($A$298,E_budgeted!$B$2:$G$2,0))&gt;0,MIN('Breede-Olifants CMA'!F63,E_budgeted!F404),'Breede-Olifants CMA'!F63)</f>
        <v>2031353.1649979812</v>
      </c>
      <c r="G320" s="32">
        <f>IF(INDEX(E_budgeted!$B$3:$G$13,MATCH($A320,E_budgeted!$A$3:$A$13,0),MATCH($A$298,E_budgeted!$B$2:$G$2,0))&gt;0,MIN('Breede-Olifants CMA'!G63,E_budgeted!G404),'Breede-Olifants CMA'!G63)</f>
        <v>2031353.1649979812</v>
      </c>
      <c r="H320" s="32">
        <f>IF(INDEX(E_budgeted!$B$3:$G$13,MATCH($A320,E_budgeted!$A$3:$A$13,0),MATCH($A$298,E_budgeted!$B$2:$G$2,0))&gt;0,MIN('Breede-Olifants CMA'!H63,E_budgeted!H404),'Breede-Olifants CMA'!H63)</f>
        <v>2031353.1649979812</v>
      </c>
      <c r="I320" s="32">
        <f>IF(INDEX(E_budgeted!$B$3:$G$13,MATCH($A320,E_budgeted!$A$3:$A$13,0),MATCH($A$298,E_budgeted!$B$2:$G$2,0))&gt;0,MIN('Breede-Olifants CMA'!I63,E_budgeted!I404),'Breede-Olifants CMA'!I63)</f>
        <v>2031353.1649979812</v>
      </c>
      <c r="J320" s="32">
        <f>IF(INDEX(E_budgeted!$B$3:$G$13,MATCH($A320,E_budgeted!$A$3:$A$13,0),MATCH($A$298,E_budgeted!$B$2:$G$2,0))&gt;0,MIN('Breede-Olifants CMA'!J63,E_budgeted!J404),'Breede-Olifants CMA'!J63)</f>
        <v>2031353.1649979812</v>
      </c>
      <c r="K320" s="32">
        <f>IF(INDEX(E_budgeted!$B$3:$G$13,MATCH($A320,E_budgeted!$A$3:$A$13,0),MATCH($A$298,E_budgeted!$B$2:$G$2,0))&gt;0,MIN('Breede-Olifants CMA'!K63,E_budgeted!K404),'Breede-Olifants CMA'!K63)</f>
        <v>2031353.1649979812</v>
      </c>
      <c r="L320" s="5">
        <f t="shared" si="224"/>
        <v>2031353.1649979812</v>
      </c>
    </row>
    <row r="321" spans="1:12" x14ac:dyDescent="0.25">
      <c r="A321" s="4" t="s">
        <v>14</v>
      </c>
      <c r="B321" s="32">
        <f>IF(INDEX(E_budgeted!$B$3:$G$13,MATCH($A321,E_budgeted!$A$3:$A$13,0),MATCH($A$298,E_budgeted!$B$2:$G$2,0))&gt;0,MIN('Breede-Olifants CMA'!B64,E_budgeted!B405),'Breede-Olifants CMA'!B64)</f>
        <v>0</v>
      </c>
      <c r="C321" s="32">
        <f>IF(INDEX(E_budgeted!$B$3:$G$13,MATCH($A321,E_budgeted!$A$3:$A$13,0),MATCH($A$298,E_budgeted!$B$2:$G$2,0))&gt;0,MIN('Breede-Olifants CMA'!C64,E_budgeted!C405),'Breede-Olifants CMA'!C64)</f>
        <v>0</v>
      </c>
      <c r="D321" s="32">
        <f>IF(INDEX(E_budgeted!$B$3:$G$13,MATCH($A321,E_budgeted!$A$3:$A$13,0),MATCH($A$298,E_budgeted!$B$2:$G$2,0))&gt;0,MIN('Breede-Olifants CMA'!D64,E_budgeted!D405),'Breede-Olifants CMA'!D64)</f>
        <v>0</v>
      </c>
      <c r="E321" s="32">
        <f>IF(INDEX(E_budgeted!$B$3:$G$13,MATCH($A321,E_budgeted!$A$3:$A$13,0),MATCH($A$298,E_budgeted!$B$2:$G$2,0))&gt;0,MIN('Breede-Olifants CMA'!E64,E_budgeted!E405),'Breede-Olifants CMA'!E64)</f>
        <v>0</v>
      </c>
      <c r="F321" s="32">
        <f>IF(INDEX(E_budgeted!$B$3:$G$13,MATCH($A321,E_budgeted!$A$3:$A$13,0),MATCH($A$298,E_budgeted!$B$2:$G$2,0))&gt;0,MIN('Breede-Olifants CMA'!F64,E_budgeted!F405),'Breede-Olifants CMA'!F64)</f>
        <v>0</v>
      </c>
      <c r="G321" s="32">
        <f>IF(INDEX(E_budgeted!$B$3:$G$13,MATCH($A321,E_budgeted!$A$3:$A$13,0),MATCH($A$298,E_budgeted!$B$2:$G$2,0))&gt;0,MIN('Breede-Olifants CMA'!G64,E_budgeted!G405),'Breede-Olifants CMA'!G64)</f>
        <v>0</v>
      </c>
      <c r="H321" s="32">
        <f>IF(INDEX(E_budgeted!$B$3:$G$13,MATCH($A321,E_budgeted!$A$3:$A$13,0),MATCH($A$298,E_budgeted!$B$2:$G$2,0))&gt;0,MIN('Breede-Olifants CMA'!H64,E_budgeted!H405),'Breede-Olifants CMA'!H64)</f>
        <v>0</v>
      </c>
      <c r="I321" s="32">
        <f>IF(INDEX(E_budgeted!$B$3:$G$13,MATCH($A321,E_budgeted!$A$3:$A$13,0),MATCH($A$298,E_budgeted!$B$2:$G$2,0))&gt;0,MIN('Breede-Olifants CMA'!I64,E_budgeted!I405),'Breede-Olifants CMA'!I64)</f>
        <v>0</v>
      </c>
      <c r="J321" s="32">
        <f>IF(INDEX(E_budgeted!$B$3:$G$13,MATCH($A321,E_budgeted!$A$3:$A$13,0),MATCH($A$298,E_budgeted!$B$2:$G$2,0))&gt;0,MIN('Breede-Olifants CMA'!J64,E_budgeted!J405),'Breede-Olifants CMA'!J64)</f>
        <v>0</v>
      </c>
      <c r="K321" s="32">
        <f>IF(INDEX(E_budgeted!$B$3:$G$13,MATCH($A321,E_budgeted!$A$3:$A$13,0),MATCH($A$298,E_budgeted!$B$2:$G$2,0))&gt;0,MIN('Breede-Olifants CMA'!K64,E_budgeted!K405),'Breede-Olifants CMA'!K64)</f>
        <v>0</v>
      </c>
      <c r="L321" s="5">
        <f t="shared" si="224"/>
        <v>0</v>
      </c>
    </row>
    <row r="322" spans="1:12" x14ac:dyDescent="0.25">
      <c r="A322" s="4" t="s">
        <v>125</v>
      </c>
      <c r="B322" s="32">
        <f>IF(INDEX(E_budgeted!$B$3:$G$13,MATCH($A322,E_budgeted!$A$3:$A$13,0),MATCH($A$298,E_budgeted!$B$2:$G$2,0))&gt;0,MIN('Breede-Olifants CMA'!B65,E_budgeted!B406),'Breede-Olifants CMA'!B65)</f>
        <v>745939.69973628363</v>
      </c>
      <c r="C322" s="32">
        <f>IF(INDEX(E_budgeted!$B$3:$G$13,MATCH($A322,E_budgeted!$A$3:$A$13,0),MATCH($A$298,E_budgeted!$B$2:$G$2,0))&gt;0,MIN('Breede-Olifants CMA'!C65,E_budgeted!C406),'Breede-Olifants CMA'!C65)</f>
        <v>745939.69973628363</v>
      </c>
      <c r="D322" s="32">
        <f>IF(INDEX(E_budgeted!$B$3:$G$13,MATCH($A322,E_budgeted!$A$3:$A$13,0),MATCH($A$298,E_budgeted!$B$2:$G$2,0))&gt;0,MIN('Breede-Olifants CMA'!D65,E_budgeted!D406),'Breede-Olifants CMA'!D65)</f>
        <v>745939.69973628363</v>
      </c>
      <c r="E322" s="32">
        <f>IF(INDEX(E_budgeted!$B$3:$G$13,MATCH($A322,E_budgeted!$A$3:$A$13,0),MATCH($A$298,E_budgeted!$B$2:$G$2,0))&gt;0,MIN('Breede-Olifants CMA'!E65,E_budgeted!E406),'Breede-Olifants CMA'!E65)</f>
        <v>745939.69973628363</v>
      </c>
      <c r="F322" s="32">
        <f>IF(INDEX(E_budgeted!$B$3:$G$13,MATCH($A322,E_budgeted!$A$3:$A$13,0),MATCH($A$298,E_budgeted!$B$2:$G$2,0))&gt;0,MIN('Breede-Olifants CMA'!F65,E_budgeted!F406),'Breede-Olifants CMA'!F65)</f>
        <v>745939.69973628363</v>
      </c>
      <c r="G322" s="32">
        <f>IF(INDEX(E_budgeted!$B$3:$G$13,MATCH($A322,E_budgeted!$A$3:$A$13,0),MATCH($A$298,E_budgeted!$B$2:$G$2,0))&gt;0,MIN('Breede-Olifants CMA'!G65,E_budgeted!G406),'Breede-Olifants CMA'!G65)</f>
        <v>745939.69973628363</v>
      </c>
      <c r="H322" s="32">
        <f>IF(INDEX(E_budgeted!$B$3:$G$13,MATCH($A322,E_budgeted!$A$3:$A$13,0),MATCH($A$298,E_budgeted!$B$2:$G$2,0))&gt;0,MIN('Breede-Olifants CMA'!H65,E_budgeted!H406),'Breede-Olifants CMA'!H65)</f>
        <v>745939.69973628363</v>
      </c>
      <c r="I322" s="32">
        <f>IF(INDEX(E_budgeted!$B$3:$G$13,MATCH($A322,E_budgeted!$A$3:$A$13,0),MATCH($A$298,E_budgeted!$B$2:$G$2,0))&gt;0,MIN('Breede-Olifants CMA'!I65,E_budgeted!I406),'Breede-Olifants CMA'!I65)</f>
        <v>745939.69973628363</v>
      </c>
      <c r="J322" s="32">
        <f>IF(INDEX(E_budgeted!$B$3:$G$13,MATCH($A322,E_budgeted!$A$3:$A$13,0),MATCH($A$298,E_budgeted!$B$2:$G$2,0))&gt;0,MIN('Breede-Olifants CMA'!J65,E_budgeted!J406),'Breede-Olifants CMA'!J65)</f>
        <v>745939.69973628363</v>
      </c>
      <c r="K322" s="32">
        <f>IF(INDEX(E_budgeted!$B$3:$G$13,MATCH($A322,E_budgeted!$A$3:$A$13,0),MATCH($A$298,E_budgeted!$B$2:$G$2,0))&gt;0,MIN('Breede-Olifants CMA'!K65,E_budgeted!K406),'Breede-Olifants CMA'!K65)</f>
        <v>745939.69973628363</v>
      </c>
      <c r="L322" s="5">
        <f t="shared" si="224"/>
        <v>745939.69973628374</v>
      </c>
    </row>
    <row r="323" spans="1:12" x14ac:dyDescent="0.25">
      <c r="A323" s="4" t="s">
        <v>37</v>
      </c>
      <c r="B323" s="32">
        <f>IF(INDEX(E_budgeted!$B$3:$G$13,MATCH($A323,E_budgeted!$A$3:$A$13,0),MATCH($A$298,E_budgeted!$B$2:$G$2,0))&gt;0,MIN('Breede-Olifants CMA'!B66,E_budgeted!B407),'Breede-Olifants CMA'!B66)</f>
        <v>14939214.825784465</v>
      </c>
      <c r="C323" s="32">
        <f>IF(INDEX(E_budgeted!$B$3:$G$13,MATCH($A323,E_budgeted!$A$3:$A$13,0),MATCH($A$298,E_budgeted!$B$2:$G$2,0))&gt;0,MIN('Breede-Olifants CMA'!C66,E_budgeted!C407),'Breede-Olifants CMA'!C66)</f>
        <v>14939214.825784465</v>
      </c>
      <c r="D323" s="32">
        <f>IF(INDEX(E_budgeted!$B$3:$G$13,MATCH($A323,E_budgeted!$A$3:$A$13,0),MATCH($A$298,E_budgeted!$B$2:$G$2,0))&gt;0,MIN('Breede-Olifants CMA'!D66,E_budgeted!D407),'Breede-Olifants CMA'!D66)</f>
        <v>14939214.825784465</v>
      </c>
      <c r="E323" s="32">
        <f>IF(INDEX(E_budgeted!$B$3:$G$13,MATCH($A323,E_budgeted!$A$3:$A$13,0),MATCH($A$298,E_budgeted!$B$2:$G$2,0))&gt;0,MIN('Breede-Olifants CMA'!E66,E_budgeted!E407),'Breede-Olifants CMA'!E66)</f>
        <v>14939214.825784465</v>
      </c>
      <c r="F323" s="32">
        <f>IF(INDEX(E_budgeted!$B$3:$G$13,MATCH($A323,E_budgeted!$A$3:$A$13,0),MATCH($A$298,E_budgeted!$B$2:$G$2,0))&gt;0,MIN('Breede-Olifants CMA'!F66,E_budgeted!F407),'Breede-Olifants CMA'!F66)</f>
        <v>14939214.825784465</v>
      </c>
      <c r="G323" s="32">
        <f>IF(INDEX(E_budgeted!$B$3:$G$13,MATCH($A323,E_budgeted!$A$3:$A$13,0),MATCH($A$298,E_budgeted!$B$2:$G$2,0))&gt;0,MIN('Breede-Olifants CMA'!G66,E_budgeted!G407),'Breede-Olifants CMA'!G66)</f>
        <v>14939214.825784465</v>
      </c>
      <c r="H323" s="32">
        <f>IF(INDEX(E_budgeted!$B$3:$G$13,MATCH($A323,E_budgeted!$A$3:$A$13,0),MATCH($A$298,E_budgeted!$B$2:$G$2,0))&gt;0,MIN('Breede-Olifants CMA'!H66,E_budgeted!H407),'Breede-Olifants CMA'!H66)</f>
        <v>14939214.825784465</v>
      </c>
      <c r="I323" s="32">
        <f>IF(INDEX(E_budgeted!$B$3:$G$13,MATCH($A323,E_budgeted!$A$3:$A$13,0),MATCH($A$298,E_budgeted!$B$2:$G$2,0))&gt;0,MIN('Breede-Olifants CMA'!I66,E_budgeted!I407),'Breede-Olifants CMA'!I66)</f>
        <v>14939214.825784465</v>
      </c>
      <c r="J323" s="32">
        <f>IF(INDEX(E_budgeted!$B$3:$G$13,MATCH($A323,E_budgeted!$A$3:$A$13,0),MATCH($A$298,E_budgeted!$B$2:$G$2,0))&gt;0,MIN('Breede-Olifants CMA'!J66,E_budgeted!J407),'Breede-Olifants CMA'!J66)</f>
        <v>14939214.825784465</v>
      </c>
      <c r="K323" s="32">
        <f>IF(INDEX(E_budgeted!$B$3:$G$13,MATCH($A323,E_budgeted!$A$3:$A$13,0),MATCH($A$298,E_budgeted!$B$2:$G$2,0))&gt;0,MIN('Breede-Olifants CMA'!K66,E_budgeted!K407),'Breede-Olifants CMA'!K66)</f>
        <v>14939214.825784465</v>
      </c>
      <c r="L323" s="5">
        <f t="shared" si="224"/>
        <v>14939214.825784465</v>
      </c>
    </row>
    <row r="324" spans="1:12" x14ac:dyDescent="0.25">
      <c r="A324" s="4" t="s">
        <v>38</v>
      </c>
      <c r="B324" s="32">
        <f>IF(INDEX(E_budgeted!$B$3:$G$13,MATCH($A324,E_budgeted!$A$3:$A$13,0),MATCH($A$298,E_budgeted!$B$2:$G$2,0))&gt;0,MIN('Breede-Olifants CMA'!B67,E_budgeted!B408),'Breede-Olifants CMA'!B67)</f>
        <v>363573.84660753433</v>
      </c>
      <c r="C324" s="32">
        <f>IF(INDEX(E_budgeted!$B$3:$G$13,MATCH($A324,E_budgeted!$A$3:$A$13,0),MATCH($A$298,E_budgeted!$B$2:$G$2,0))&gt;0,MIN('Breede-Olifants CMA'!C67,E_budgeted!C408),'Breede-Olifants CMA'!C67)</f>
        <v>363573.84660753433</v>
      </c>
      <c r="D324" s="32">
        <f>IF(INDEX(E_budgeted!$B$3:$G$13,MATCH($A324,E_budgeted!$A$3:$A$13,0),MATCH($A$298,E_budgeted!$B$2:$G$2,0))&gt;0,MIN('Breede-Olifants CMA'!D67,E_budgeted!D408),'Breede-Olifants CMA'!D67)</f>
        <v>363573.84660753433</v>
      </c>
      <c r="E324" s="32">
        <f>IF(INDEX(E_budgeted!$B$3:$G$13,MATCH($A324,E_budgeted!$A$3:$A$13,0),MATCH($A$298,E_budgeted!$B$2:$G$2,0))&gt;0,MIN('Breede-Olifants CMA'!E67,E_budgeted!E408),'Breede-Olifants CMA'!E67)</f>
        <v>363573.84660753433</v>
      </c>
      <c r="F324" s="32">
        <f>IF(INDEX(E_budgeted!$B$3:$G$13,MATCH($A324,E_budgeted!$A$3:$A$13,0),MATCH($A$298,E_budgeted!$B$2:$G$2,0))&gt;0,MIN('Breede-Olifants CMA'!F67,E_budgeted!F408),'Breede-Olifants CMA'!F67)</f>
        <v>363573.84660753433</v>
      </c>
      <c r="G324" s="32">
        <f>IF(INDEX(E_budgeted!$B$3:$G$13,MATCH($A324,E_budgeted!$A$3:$A$13,0),MATCH($A$298,E_budgeted!$B$2:$G$2,0))&gt;0,MIN('Breede-Olifants CMA'!G67,E_budgeted!G408),'Breede-Olifants CMA'!G67)</f>
        <v>363573.84660753433</v>
      </c>
      <c r="H324" s="32">
        <f>IF(INDEX(E_budgeted!$B$3:$G$13,MATCH($A324,E_budgeted!$A$3:$A$13,0),MATCH($A$298,E_budgeted!$B$2:$G$2,0))&gt;0,MIN('Breede-Olifants CMA'!H67,E_budgeted!H408),'Breede-Olifants CMA'!H67)</f>
        <v>363573.84660753433</v>
      </c>
      <c r="I324" s="32">
        <f>IF(INDEX(E_budgeted!$B$3:$G$13,MATCH($A324,E_budgeted!$A$3:$A$13,0),MATCH($A$298,E_budgeted!$B$2:$G$2,0))&gt;0,MIN('Breede-Olifants CMA'!I67,E_budgeted!I408),'Breede-Olifants CMA'!I67)</f>
        <v>363573.84660753433</v>
      </c>
      <c r="J324" s="32">
        <f>IF(INDEX(E_budgeted!$B$3:$G$13,MATCH($A324,E_budgeted!$A$3:$A$13,0),MATCH($A$298,E_budgeted!$B$2:$G$2,0))&gt;0,MIN('Breede-Olifants CMA'!J67,E_budgeted!J408),'Breede-Olifants CMA'!J67)</f>
        <v>363573.84660753433</v>
      </c>
      <c r="K324" s="32">
        <f>IF(INDEX(E_budgeted!$B$3:$G$13,MATCH($A324,E_budgeted!$A$3:$A$13,0),MATCH($A$298,E_budgeted!$B$2:$G$2,0))&gt;0,MIN('Breede-Olifants CMA'!K67,E_budgeted!K408),'Breede-Olifants CMA'!K67)</f>
        <v>363573.84660753433</v>
      </c>
      <c r="L324" s="5">
        <f t="shared" si="224"/>
        <v>363573.84660753427</v>
      </c>
    </row>
    <row r="325" spans="1:12" x14ac:dyDescent="0.25">
      <c r="A325" s="4" t="s">
        <v>15</v>
      </c>
      <c r="B325" s="13">
        <f>IF(INDEX(E_budgeted!$B$3:$G$13,MATCH($A325,E_budgeted!$A$3:$A$13,0),MATCH($A$298,E_budgeted!$B$2:$G$2,0))&gt;0,MIN('Breede-Olifants CMA'!B68,E_budgeted!B409),'Breede-Olifants CMA'!B68)</f>
        <v>11752359.177764101</v>
      </c>
      <c r="C325" s="13">
        <f>IF(INDEX(E_budgeted!$B$3:$G$13,MATCH($A325,E_budgeted!$A$3:$A$13,0),MATCH($A$298,E_budgeted!$B$2:$G$2,0))&gt;0,MIN('Breede-Olifants CMA'!C68,E_budgeted!C409),'Breede-Olifants CMA'!C68)</f>
        <v>11752359.177764101</v>
      </c>
      <c r="D325" s="13">
        <f>IF(INDEX(E_budgeted!$B$3:$G$13,MATCH($A325,E_budgeted!$A$3:$A$13,0),MATCH($A$298,E_budgeted!$B$2:$G$2,0))&gt;0,MIN('Breede-Olifants CMA'!D68,E_budgeted!D409),'Breede-Olifants CMA'!D68)</f>
        <v>11752359.177764101</v>
      </c>
      <c r="E325" s="13">
        <f>IF(INDEX(E_budgeted!$B$3:$G$13,MATCH($A325,E_budgeted!$A$3:$A$13,0),MATCH($A$298,E_budgeted!$B$2:$G$2,0))&gt;0,MIN('Breede-Olifants CMA'!E68,E_budgeted!E409),'Breede-Olifants CMA'!E68)</f>
        <v>11752359.177764101</v>
      </c>
      <c r="F325" s="13">
        <f>IF(INDEX(E_budgeted!$B$3:$G$13,MATCH($A325,E_budgeted!$A$3:$A$13,0),MATCH($A$298,E_budgeted!$B$2:$G$2,0))&gt;0,MIN('Breede-Olifants CMA'!F68,E_budgeted!F409),'Breede-Olifants CMA'!F68)</f>
        <v>11752359.177764101</v>
      </c>
      <c r="G325" s="13">
        <f>IF(INDEX(E_budgeted!$B$3:$G$13,MATCH($A325,E_budgeted!$A$3:$A$13,0),MATCH($A$298,E_budgeted!$B$2:$G$2,0))&gt;0,MIN('Breede-Olifants CMA'!G68,E_budgeted!G409),'Breede-Olifants CMA'!G68)</f>
        <v>11752359.177764101</v>
      </c>
      <c r="H325" s="13">
        <f>IF(INDEX(E_budgeted!$B$3:$G$13,MATCH($A325,E_budgeted!$A$3:$A$13,0),MATCH($A$298,E_budgeted!$B$2:$G$2,0))&gt;0,MIN('Breede-Olifants CMA'!H68,E_budgeted!H409),'Breede-Olifants CMA'!H68)</f>
        <v>11752359.177764101</v>
      </c>
      <c r="I325" s="13">
        <f>IF(INDEX(E_budgeted!$B$3:$G$13,MATCH($A325,E_budgeted!$A$3:$A$13,0),MATCH($A$298,E_budgeted!$B$2:$G$2,0))&gt;0,MIN('Breede-Olifants CMA'!I68,E_budgeted!I409),'Breede-Olifants CMA'!I68)</f>
        <v>11752359.177764101</v>
      </c>
      <c r="J325" s="13">
        <f>IF(INDEX(E_budgeted!$B$3:$G$13,MATCH($A325,E_budgeted!$A$3:$A$13,0),MATCH($A$298,E_budgeted!$B$2:$G$2,0))&gt;0,MIN('Breede-Olifants CMA'!J68,E_budgeted!J409),'Breede-Olifants CMA'!J68)</f>
        <v>11752359.177764101</v>
      </c>
      <c r="K325" s="13">
        <f>IF(INDEX(E_budgeted!$B$3:$G$13,MATCH($A325,E_budgeted!$A$3:$A$13,0),MATCH($A$298,E_budgeted!$B$2:$G$2,0))&gt;0,MIN('Breede-Olifants CMA'!K68,E_budgeted!K409),'Breede-Olifants CMA'!K68)</f>
        <v>11752359.177764101</v>
      </c>
      <c r="L325" s="5">
        <f t="shared" si="224"/>
        <v>11752359.177764101</v>
      </c>
    </row>
    <row r="326" spans="1:12" x14ac:dyDescent="0.25">
      <c r="B326" s="5">
        <f t="shared" ref="B326:K326" si="225">SUM(B315:B325)</f>
        <v>41409472.306644395</v>
      </c>
      <c r="C326" s="5">
        <f t="shared" si="225"/>
        <v>41409472.306644395</v>
      </c>
      <c r="D326" s="5">
        <f t="shared" si="225"/>
        <v>41409472.306644395</v>
      </c>
      <c r="E326" s="5">
        <f t="shared" si="225"/>
        <v>41409472.306644395</v>
      </c>
      <c r="F326" s="5">
        <f t="shared" si="225"/>
        <v>41409472.306644395</v>
      </c>
      <c r="G326" s="5">
        <f t="shared" si="225"/>
        <v>41409472.306644395</v>
      </c>
      <c r="H326" s="5">
        <f t="shared" si="225"/>
        <v>41409472.306644395</v>
      </c>
      <c r="I326" s="5">
        <f t="shared" si="225"/>
        <v>41409472.306644395</v>
      </c>
      <c r="J326" s="5">
        <f t="shared" si="225"/>
        <v>41409472.306644395</v>
      </c>
      <c r="K326" s="5">
        <f t="shared" si="225"/>
        <v>41409472.306644395</v>
      </c>
      <c r="L326" s="5"/>
    </row>
    <row r="327" spans="1:12" x14ac:dyDescent="0.25">
      <c r="B327" s="16">
        <f>B326/$B$312</f>
        <v>0.39332251264796897</v>
      </c>
      <c r="C327" s="5"/>
      <c r="D327" s="5"/>
      <c r="E327" s="5"/>
      <c r="F327" s="5"/>
      <c r="G327" s="5"/>
      <c r="H327" s="5"/>
      <c r="I327" s="5"/>
      <c r="J327" s="5"/>
      <c r="K327" s="5"/>
      <c r="L327" s="5"/>
    </row>
    <row r="329" spans="1:12" ht="30" x14ac:dyDescent="0.25">
      <c r="A329" s="15" t="s">
        <v>57</v>
      </c>
      <c r="B329" s="12" t="str">
        <f>'Summary dashboard'!C4</f>
        <v>2023</v>
      </c>
      <c r="C329" s="12">
        <f t="shared" ref="C329" si="226">B329+1</f>
        <v>2024</v>
      </c>
      <c r="D329" s="12">
        <f t="shared" ref="D329" si="227">C329+1</f>
        <v>2025</v>
      </c>
      <c r="E329" s="12">
        <f t="shared" ref="E329" si="228">D329+1</f>
        <v>2026</v>
      </c>
      <c r="F329" s="12">
        <f t="shared" ref="F329" si="229">E329+1</f>
        <v>2027</v>
      </c>
      <c r="G329" s="12">
        <f t="shared" ref="G329" si="230">F329+1</f>
        <v>2028</v>
      </c>
      <c r="H329" s="12">
        <f t="shared" ref="H329" si="231">G329+1</f>
        <v>2029</v>
      </c>
      <c r="I329" s="12">
        <f t="shared" ref="I329" si="232">H329+1</f>
        <v>2030</v>
      </c>
      <c r="J329" s="12">
        <f t="shared" ref="J329" si="233">I329+1</f>
        <v>2031</v>
      </c>
      <c r="K329" s="12">
        <f t="shared" ref="K329" si="234">J329+1</f>
        <v>2032</v>
      </c>
      <c r="L329" s="1" t="s">
        <v>28</v>
      </c>
    </row>
    <row r="330" spans="1:12" x14ac:dyDescent="0.25">
      <c r="A330" s="4" t="s">
        <v>35</v>
      </c>
      <c r="B330" s="32">
        <f>IF(INDEX(E_budgeted!$B$3:$G$13,MATCH($A330,E_budgeted!$A$3:$A$13,0),MATCH($A$298,E_budgeted!$B$2:$G$2,0))&gt;0,MIN('Breede-Olifants CMA'!B73,E_budgeted!B414),'Breede-Olifants CMA'!B73)</f>
        <v>5097998.0118153961</v>
      </c>
      <c r="C330" s="32">
        <f>IF(INDEX(E_budgeted!$B$3:$G$13,MATCH($A330,E_budgeted!$A$3:$A$13,0),MATCH($A$298,E_budgeted!$B$2:$G$2,0))&gt;0,MIN('Breede-Olifants CMA'!C73,E_budgeted!C414),'Breede-Olifants CMA'!C73)</f>
        <v>5097998.0118153961</v>
      </c>
      <c r="D330" s="32">
        <f>IF(INDEX(E_budgeted!$B$3:$G$13,MATCH($A330,E_budgeted!$A$3:$A$13,0),MATCH($A$298,E_budgeted!$B$2:$G$2,0))&gt;0,MIN('Breede-Olifants CMA'!D73,E_budgeted!D414),'Breede-Olifants CMA'!D73)</f>
        <v>5097998.0118153961</v>
      </c>
      <c r="E330" s="32">
        <f>IF(INDEX(E_budgeted!$B$3:$G$13,MATCH($A330,E_budgeted!$A$3:$A$13,0),MATCH($A$298,E_budgeted!$B$2:$G$2,0))&gt;0,MIN('Breede-Olifants CMA'!E73,E_budgeted!E414),'Breede-Olifants CMA'!E73)</f>
        <v>5097998.0118153961</v>
      </c>
      <c r="F330" s="32">
        <f>IF(INDEX(E_budgeted!$B$3:$G$13,MATCH($A330,E_budgeted!$A$3:$A$13,0),MATCH($A$298,E_budgeted!$B$2:$G$2,0))&gt;0,MIN('Breede-Olifants CMA'!F73,E_budgeted!F414),'Breede-Olifants CMA'!F73)</f>
        <v>5097998.0118153961</v>
      </c>
      <c r="G330" s="32">
        <f>IF(INDEX(E_budgeted!$B$3:$G$13,MATCH($A330,E_budgeted!$A$3:$A$13,0),MATCH($A$298,E_budgeted!$B$2:$G$2,0))&gt;0,MIN('Breede-Olifants CMA'!G73,E_budgeted!G414),'Breede-Olifants CMA'!G73)</f>
        <v>5097998.0118153961</v>
      </c>
      <c r="H330" s="32">
        <f>IF(INDEX(E_budgeted!$B$3:$G$13,MATCH($A330,E_budgeted!$A$3:$A$13,0),MATCH($A$298,E_budgeted!$B$2:$G$2,0))&gt;0,MIN('Breede-Olifants CMA'!H73,E_budgeted!H414),'Breede-Olifants CMA'!H73)</f>
        <v>5097998.0118153961</v>
      </c>
      <c r="I330" s="32">
        <f>IF(INDEX(E_budgeted!$B$3:$G$13,MATCH($A330,E_budgeted!$A$3:$A$13,0),MATCH($A$298,E_budgeted!$B$2:$G$2,0))&gt;0,MIN('Breede-Olifants CMA'!I73,E_budgeted!I414),'Breede-Olifants CMA'!I73)</f>
        <v>5097998.0118153961</v>
      </c>
      <c r="J330" s="32">
        <f>IF(INDEX(E_budgeted!$B$3:$G$13,MATCH($A330,E_budgeted!$A$3:$A$13,0),MATCH($A$298,E_budgeted!$B$2:$G$2,0))&gt;0,MIN('Breede-Olifants CMA'!J73,E_budgeted!J414),'Breede-Olifants CMA'!J73)</f>
        <v>5097998.0118153961</v>
      </c>
      <c r="K330" s="32">
        <f>IF(INDEX(E_budgeted!$B$3:$G$13,MATCH($A330,E_budgeted!$A$3:$A$13,0),MATCH($A$298,E_budgeted!$B$2:$G$2,0))&gt;0,MIN('Breede-Olifants CMA'!K73,E_budgeted!K414),'Breede-Olifants CMA'!K73)</f>
        <v>5097998.0118153961</v>
      </c>
      <c r="L330" s="5">
        <f>AVERAGE(B330:K330)</f>
        <v>5097998.0118153971</v>
      </c>
    </row>
    <row r="331" spans="1:12" x14ac:dyDescent="0.25">
      <c r="A331" s="4" t="s">
        <v>36</v>
      </c>
      <c r="B331" s="32">
        <f>IF(INDEX(E_budgeted!$B$3:$G$13,MATCH($A331,E_budgeted!$A$3:$A$13,0),MATCH($A$298,E_budgeted!$B$2:$G$2,0))&gt;0,MIN('Breede-Olifants CMA'!B74,E_budgeted!B415),'Breede-Olifants CMA'!B74)</f>
        <v>490287.3629599344</v>
      </c>
      <c r="C331" s="32">
        <f>IF(INDEX(E_budgeted!$B$3:$G$13,MATCH($A331,E_budgeted!$A$3:$A$13,0),MATCH($A$298,E_budgeted!$B$2:$G$2,0))&gt;0,MIN('Breede-Olifants CMA'!C74,E_budgeted!C415),'Breede-Olifants CMA'!C74)</f>
        <v>490287.3629599344</v>
      </c>
      <c r="D331" s="32">
        <f>IF(INDEX(E_budgeted!$B$3:$G$13,MATCH($A331,E_budgeted!$A$3:$A$13,0),MATCH($A$298,E_budgeted!$B$2:$G$2,0))&gt;0,MIN('Breede-Olifants CMA'!D74,E_budgeted!D415),'Breede-Olifants CMA'!D74)</f>
        <v>490287.3629599344</v>
      </c>
      <c r="E331" s="32">
        <f>IF(INDEX(E_budgeted!$B$3:$G$13,MATCH($A331,E_budgeted!$A$3:$A$13,0),MATCH($A$298,E_budgeted!$B$2:$G$2,0))&gt;0,MIN('Breede-Olifants CMA'!E74,E_budgeted!E415),'Breede-Olifants CMA'!E74)</f>
        <v>490287.3629599344</v>
      </c>
      <c r="F331" s="32">
        <f>IF(INDEX(E_budgeted!$B$3:$G$13,MATCH($A331,E_budgeted!$A$3:$A$13,0),MATCH($A$298,E_budgeted!$B$2:$G$2,0))&gt;0,MIN('Breede-Olifants CMA'!F74,E_budgeted!F415),'Breede-Olifants CMA'!F74)</f>
        <v>490287.3629599344</v>
      </c>
      <c r="G331" s="32">
        <f>IF(INDEX(E_budgeted!$B$3:$G$13,MATCH($A331,E_budgeted!$A$3:$A$13,0),MATCH($A$298,E_budgeted!$B$2:$G$2,0))&gt;0,MIN('Breede-Olifants CMA'!G74,E_budgeted!G415),'Breede-Olifants CMA'!G74)</f>
        <v>490287.3629599344</v>
      </c>
      <c r="H331" s="32">
        <f>IF(INDEX(E_budgeted!$B$3:$G$13,MATCH($A331,E_budgeted!$A$3:$A$13,0),MATCH($A$298,E_budgeted!$B$2:$G$2,0))&gt;0,MIN('Breede-Olifants CMA'!H74,E_budgeted!H415),'Breede-Olifants CMA'!H74)</f>
        <v>490287.3629599344</v>
      </c>
      <c r="I331" s="32">
        <f>IF(INDEX(E_budgeted!$B$3:$G$13,MATCH($A331,E_budgeted!$A$3:$A$13,0),MATCH($A$298,E_budgeted!$B$2:$G$2,0))&gt;0,MIN('Breede-Olifants CMA'!I74,E_budgeted!I415),'Breede-Olifants CMA'!I74)</f>
        <v>490287.3629599344</v>
      </c>
      <c r="J331" s="32">
        <f>IF(INDEX(E_budgeted!$B$3:$G$13,MATCH($A331,E_budgeted!$A$3:$A$13,0),MATCH($A$298,E_budgeted!$B$2:$G$2,0))&gt;0,MIN('Breede-Olifants CMA'!J74,E_budgeted!J415),'Breede-Olifants CMA'!J74)</f>
        <v>490287.3629599344</v>
      </c>
      <c r="K331" s="32">
        <f>IF(INDEX(E_budgeted!$B$3:$G$13,MATCH($A331,E_budgeted!$A$3:$A$13,0),MATCH($A$298,E_budgeted!$B$2:$G$2,0))&gt;0,MIN('Breede-Olifants CMA'!K74,E_budgeted!K415),'Breede-Olifants CMA'!K74)</f>
        <v>490287.3629599344</v>
      </c>
      <c r="L331" s="5">
        <f t="shared" ref="L331:L340" si="235">AVERAGE(B331:K331)</f>
        <v>490287.3629599344</v>
      </c>
    </row>
    <row r="332" spans="1:12" x14ac:dyDescent="0.25">
      <c r="A332" s="4" t="s">
        <v>11</v>
      </c>
      <c r="B332" s="32">
        <f>IF(INDEX(E_budgeted!$B$3:$G$13,MATCH($A332,E_budgeted!$A$3:$A$13,0),MATCH($A$298,E_budgeted!$B$2:$G$2,0))&gt;0,MIN('Breede-Olifants CMA'!B75,E_budgeted!B416),'Breede-Olifants CMA'!B75)</f>
        <v>0</v>
      </c>
      <c r="C332" s="32">
        <f>IF(INDEX(E_budgeted!$B$3:$G$13,MATCH($A332,E_budgeted!$A$3:$A$13,0),MATCH($A$298,E_budgeted!$B$2:$G$2,0))&gt;0,MIN('Breede-Olifants CMA'!C75,E_budgeted!C416),'Breede-Olifants CMA'!C75)</f>
        <v>0</v>
      </c>
      <c r="D332" s="32">
        <f>IF(INDEX(E_budgeted!$B$3:$G$13,MATCH($A332,E_budgeted!$A$3:$A$13,0),MATCH($A$298,E_budgeted!$B$2:$G$2,0))&gt;0,MIN('Breede-Olifants CMA'!D75,E_budgeted!D416),'Breede-Olifants CMA'!D75)</f>
        <v>0</v>
      </c>
      <c r="E332" s="32">
        <f>IF(INDEX(E_budgeted!$B$3:$G$13,MATCH($A332,E_budgeted!$A$3:$A$13,0),MATCH($A$298,E_budgeted!$B$2:$G$2,0))&gt;0,MIN('Breede-Olifants CMA'!E75,E_budgeted!E416),'Breede-Olifants CMA'!E75)</f>
        <v>0</v>
      </c>
      <c r="F332" s="32">
        <f>IF(INDEX(E_budgeted!$B$3:$G$13,MATCH($A332,E_budgeted!$A$3:$A$13,0),MATCH($A$298,E_budgeted!$B$2:$G$2,0))&gt;0,MIN('Breede-Olifants CMA'!F75,E_budgeted!F416),'Breede-Olifants CMA'!F75)</f>
        <v>0</v>
      </c>
      <c r="G332" s="32">
        <f>IF(INDEX(E_budgeted!$B$3:$G$13,MATCH($A332,E_budgeted!$A$3:$A$13,0),MATCH($A$298,E_budgeted!$B$2:$G$2,0))&gt;0,MIN('Breede-Olifants CMA'!G75,E_budgeted!G416),'Breede-Olifants CMA'!G75)</f>
        <v>0</v>
      </c>
      <c r="H332" s="32">
        <f>IF(INDEX(E_budgeted!$B$3:$G$13,MATCH($A332,E_budgeted!$A$3:$A$13,0),MATCH($A$298,E_budgeted!$B$2:$G$2,0))&gt;0,MIN('Breede-Olifants CMA'!H75,E_budgeted!H416),'Breede-Olifants CMA'!H75)</f>
        <v>0</v>
      </c>
      <c r="I332" s="32">
        <f>IF(INDEX(E_budgeted!$B$3:$G$13,MATCH($A332,E_budgeted!$A$3:$A$13,0),MATCH($A$298,E_budgeted!$B$2:$G$2,0))&gt;0,MIN('Breede-Olifants CMA'!I75,E_budgeted!I416),'Breede-Olifants CMA'!I75)</f>
        <v>0</v>
      </c>
      <c r="J332" s="32">
        <f>IF(INDEX(E_budgeted!$B$3:$G$13,MATCH($A332,E_budgeted!$A$3:$A$13,0),MATCH($A$298,E_budgeted!$B$2:$G$2,0))&gt;0,MIN('Breede-Olifants CMA'!J75,E_budgeted!J416),'Breede-Olifants CMA'!J75)</f>
        <v>0</v>
      </c>
      <c r="K332" s="32">
        <f>IF(INDEX(E_budgeted!$B$3:$G$13,MATCH($A332,E_budgeted!$A$3:$A$13,0),MATCH($A$298,E_budgeted!$B$2:$G$2,0))&gt;0,MIN('Breede-Olifants CMA'!K75,E_budgeted!K416),'Breede-Olifants CMA'!K75)</f>
        <v>0</v>
      </c>
      <c r="L332" s="5">
        <f t="shared" si="235"/>
        <v>0</v>
      </c>
    </row>
    <row r="333" spans="1:12" x14ac:dyDescent="0.25">
      <c r="A333" s="4" t="s">
        <v>124</v>
      </c>
      <c r="B333" s="32">
        <f>IF(INDEX(E_budgeted!$B$3:$G$13,MATCH($A333,E_budgeted!$A$3:$A$13,0),MATCH($A$298,E_budgeted!$B$2:$G$2,0))&gt;0,MIN('Breede-Olifants CMA'!B76,E_budgeted!B417),'Breede-Olifants CMA'!B76)</f>
        <v>300000</v>
      </c>
      <c r="C333" s="32">
        <f>IF(INDEX(E_budgeted!$B$3:$G$13,MATCH($A333,E_budgeted!$A$3:$A$13,0),MATCH($A$298,E_budgeted!$B$2:$G$2,0))&gt;0,MIN('Breede-Olifants CMA'!C76,E_budgeted!C417),'Breede-Olifants CMA'!C76)</f>
        <v>300000</v>
      </c>
      <c r="D333" s="32">
        <f>IF(INDEX(E_budgeted!$B$3:$G$13,MATCH($A333,E_budgeted!$A$3:$A$13,0),MATCH($A$298,E_budgeted!$B$2:$G$2,0))&gt;0,MIN('Breede-Olifants CMA'!D76,E_budgeted!D417),'Breede-Olifants CMA'!D76)</f>
        <v>300000</v>
      </c>
      <c r="E333" s="32">
        <f>IF(INDEX(E_budgeted!$B$3:$G$13,MATCH($A333,E_budgeted!$A$3:$A$13,0),MATCH($A$298,E_budgeted!$B$2:$G$2,0))&gt;0,MIN('Breede-Olifants CMA'!E76,E_budgeted!E417),'Breede-Olifants CMA'!E76)</f>
        <v>300000</v>
      </c>
      <c r="F333" s="32">
        <f>IF(INDEX(E_budgeted!$B$3:$G$13,MATCH($A333,E_budgeted!$A$3:$A$13,0),MATCH($A$298,E_budgeted!$B$2:$G$2,0))&gt;0,MIN('Breede-Olifants CMA'!F76,E_budgeted!F417),'Breede-Olifants CMA'!F76)</f>
        <v>300000</v>
      </c>
      <c r="G333" s="32">
        <f>IF(INDEX(E_budgeted!$B$3:$G$13,MATCH($A333,E_budgeted!$A$3:$A$13,0),MATCH($A$298,E_budgeted!$B$2:$G$2,0))&gt;0,MIN('Breede-Olifants CMA'!G76,E_budgeted!G417),'Breede-Olifants CMA'!G76)</f>
        <v>300000</v>
      </c>
      <c r="H333" s="32">
        <f>IF(INDEX(E_budgeted!$B$3:$G$13,MATCH($A333,E_budgeted!$A$3:$A$13,0),MATCH($A$298,E_budgeted!$B$2:$G$2,0))&gt;0,MIN('Breede-Olifants CMA'!H76,E_budgeted!H417),'Breede-Olifants CMA'!H76)</f>
        <v>300000</v>
      </c>
      <c r="I333" s="32">
        <f>IF(INDEX(E_budgeted!$B$3:$G$13,MATCH($A333,E_budgeted!$A$3:$A$13,0),MATCH($A$298,E_budgeted!$B$2:$G$2,0))&gt;0,MIN('Breede-Olifants CMA'!I76,E_budgeted!I417),'Breede-Olifants CMA'!I76)</f>
        <v>300000</v>
      </c>
      <c r="J333" s="32">
        <f>IF(INDEX(E_budgeted!$B$3:$G$13,MATCH($A333,E_budgeted!$A$3:$A$13,0),MATCH($A$298,E_budgeted!$B$2:$G$2,0))&gt;0,MIN('Breede-Olifants CMA'!J76,E_budgeted!J417),'Breede-Olifants CMA'!J76)</f>
        <v>300000</v>
      </c>
      <c r="K333" s="32">
        <f>IF(INDEX(E_budgeted!$B$3:$G$13,MATCH($A333,E_budgeted!$A$3:$A$13,0),MATCH($A$298,E_budgeted!$B$2:$G$2,0))&gt;0,MIN('Breede-Olifants CMA'!K76,E_budgeted!K417),'Breede-Olifants CMA'!K76)</f>
        <v>300000</v>
      </c>
      <c r="L333" s="5">
        <f t="shared" si="235"/>
        <v>300000</v>
      </c>
    </row>
    <row r="334" spans="1:12" x14ac:dyDescent="0.25">
      <c r="A334" s="4" t="s">
        <v>12</v>
      </c>
      <c r="B334" s="32">
        <f>IF(INDEX(E_budgeted!$B$3:$G$13,MATCH($A334,E_budgeted!$A$3:$A$13,0),MATCH($A$298,E_budgeted!$B$2:$G$2,0))&gt;0,MIN('Breede-Olifants CMA'!B77,E_budgeted!B418),'Breede-Olifants CMA'!B77)</f>
        <v>0</v>
      </c>
      <c r="C334" s="32">
        <f>IF(INDEX(E_budgeted!$B$3:$G$13,MATCH($A334,E_budgeted!$A$3:$A$13,0),MATCH($A$298,E_budgeted!$B$2:$G$2,0))&gt;0,MIN('Breede-Olifants CMA'!C77,E_budgeted!C418),'Breede-Olifants CMA'!C77)</f>
        <v>0</v>
      </c>
      <c r="D334" s="32">
        <f>IF(INDEX(E_budgeted!$B$3:$G$13,MATCH($A334,E_budgeted!$A$3:$A$13,0),MATCH($A$298,E_budgeted!$B$2:$G$2,0))&gt;0,MIN('Breede-Olifants CMA'!D77,E_budgeted!D418),'Breede-Olifants CMA'!D77)</f>
        <v>0</v>
      </c>
      <c r="E334" s="32">
        <f>IF(INDEX(E_budgeted!$B$3:$G$13,MATCH($A334,E_budgeted!$A$3:$A$13,0),MATCH($A$298,E_budgeted!$B$2:$G$2,0))&gt;0,MIN('Breede-Olifants CMA'!E77,E_budgeted!E418),'Breede-Olifants CMA'!E77)</f>
        <v>0</v>
      </c>
      <c r="F334" s="32">
        <f>IF(INDEX(E_budgeted!$B$3:$G$13,MATCH($A334,E_budgeted!$A$3:$A$13,0),MATCH($A$298,E_budgeted!$B$2:$G$2,0))&gt;0,MIN('Breede-Olifants CMA'!F77,E_budgeted!F418),'Breede-Olifants CMA'!F77)</f>
        <v>0</v>
      </c>
      <c r="G334" s="32">
        <f>IF(INDEX(E_budgeted!$B$3:$G$13,MATCH($A334,E_budgeted!$A$3:$A$13,0),MATCH($A$298,E_budgeted!$B$2:$G$2,0))&gt;0,MIN('Breede-Olifants CMA'!G77,E_budgeted!G418),'Breede-Olifants CMA'!G77)</f>
        <v>0</v>
      </c>
      <c r="H334" s="32">
        <f>IF(INDEX(E_budgeted!$B$3:$G$13,MATCH($A334,E_budgeted!$A$3:$A$13,0),MATCH($A$298,E_budgeted!$B$2:$G$2,0))&gt;0,MIN('Breede-Olifants CMA'!H77,E_budgeted!H418),'Breede-Olifants CMA'!H77)</f>
        <v>0</v>
      </c>
      <c r="I334" s="32">
        <f>IF(INDEX(E_budgeted!$B$3:$G$13,MATCH($A334,E_budgeted!$A$3:$A$13,0),MATCH($A$298,E_budgeted!$B$2:$G$2,0))&gt;0,MIN('Breede-Olifants CMA'!I77,E_budgeted!I418),'Breede-Olifants CMA'!I77)</f>
        <v>0</v>
      </c>
      <c r="J334" s="32">
        <f>IF(INDEX(E_budgeted!$B$3:$G$13,MATCH($A334,E_budgeted!$A$3:$A$13,0),MATCH($A$298,E_budgeted!$B$2:$G$2,0))&gt;0,MIN('Breede-Olifants CMA'!J77,E_budgeted!J418),'Breede-Olifants CMA'!J77)</f>
        <v>0</v>
      </c>
      <c r="K334" s="32">
        <f>IF(INDEX(E_budgeted!$B$3:$G$13,MATCH($A334,E_budgeted!$A$3:$A$13,0),MATCH($A$298,E_budgeted!$B$2:$G$2,0))&gt;0,MIN('Breede-Olifants CMA'!K77,E_budgeted!K418),'Breede-Olifants CMA'!K77)</f>
        <v>0</v>
      </c>
      <c r="L334" s="5">
        <f t="shared" si="235"/>
        <v>0</v>
      </c>
    </row>
    <row r="335" spans="1:12" x14ac:dyDescent="0.25">
      <c r="A335" s="4" t="s">
        <v>13</v>
      </c>
      <c r="B335" s="32">
        <f>IF(INDEX(E_budgeted!$B$3:$G$13,MATCH($A335,E_budgeted!$A$3:$A$13,0),MATCH($A$298,E_budgeted!$B$2:$G$2,0))&gt;0,MIN('Breede-Olifants CMA'!B78,E_budgeted!B419),'Breede-Olifants CMA'!B78)</f>
        <v>1015676.5824989905</v>
      </c>
      <c r="C335" s="32">
        <f>IF(INDEX(E_budgeted!$B$3:$G$13,MATCH($A335,E_budgeted!$A$3:$A$13,0),MATCH($A$298,E_budgeted!$B$2:$G$2,0))&gt;0,MIN('Breede-Olifants CMA'!C78,E_budgeted!C419),'Breede-Olifants CMA'!C78)</f>
        <v>1015676.5824989905</v>
      </c>
      <c r="D335" s="32">
        <f>IF(INDEX(E_budgeted!$B$3:$G$13,MATCH($A335,E_budgeted!$A$3:$A$13,0),MATCH($A$298,E_budgeted!$B$2:$G$2,0))&gt;0,MIN('Breede-Olifants CMA'!D78,E_budgeted!D419),'Breede-Olifants CMA'!D78)</f>
        <v>1015676.5824989905</v>
      </c>
      <c r="E335" s="32">
        <f>IF(INDEX(E_budgeted!$B$3:$G$13,MATCH($A335,E_budgeted!$A$3:$A$13,0),MATCH($A$298,E_budgeted!$B$2:$G$2,0))&gt;0,MIN('Breede-Olifants CMA'!E78,E_budgeted!E419),'Breede-Olifants CMA'!E78)</f>
        <v>1015676.5824989905</v>
      </c>
      <c r="F335" s="32">
        <f>IF(INDEX(E_budgeted!$B$3:$G$13,MATCH($A335,E_budgeted!$A$3:$A$13,0),MATCH($A$298,E_budgeted!$B$2:$G$2,0))&gt;0,MIN('Breede-Olifants CMA'!F78,E_budgeted!F419),'Breede-Olifants CMA'!F78)</f>
        <v>1015676.5824989905</v>
      </c>
      <c r="G335" s="32">
        <f>IF(INDEX(E_budgeted!$B$3:$G$13,MATCH($A335,E_budgeted!$A$3:$A$13,0),MATCH($A$298,E_budgeted!$B$2:$G$2,0))&gt;0,MIN('Breede-Olifants CMA'!G78,E_budgeted!G419),'Breede-Olifants CMA'!G78)</f>
        <v>1015676.5824989905</v>
      </c>
      <c r="H335" s="32">
        <f>IF(INDEX(E_budgeted!$B$3:$G$13,MATCH($A335,E_budgeted!$A$3:$A$13,0),MATCH($A$298,E_budgeted!$B$2:$G$2,0))&gt;0,MIN('Breede-Olifants CMA'!H78,E_budgeted!H419),'Breede-Olifants CMA'!H78)</f>
        <v>1015676.5824989905</v>
      </c>
      <c r="I335" s="32">
        <f>IF(INDEX(E_budgeted!$B$3:$G$13,MATCH($A335,E_budgeted!$A$3:$A$13,0),MATCH($A$298,E_budgeted!$B$2:$G$2,0))&gt;0,MIN('Breede-Olifants CMA'!I78,E_budgeted!I419),'Breede-Olifants CMA'!I78)</f>
        <v>1015676.5824989905</v>
      </c>
      <c r="J335" s="32">
        <f>IF(INDEX(E_budgeted!$B$3:$G$13,MATCH($A335,E_budgeted!$A$3:$A$13,0),MATCH($A$298,E_budgeted!$B$2:$G$2,0))&gt;0,MIN('Breede-Olifants CMA'!J78,E_budgeted!J419),'Breede-Olifants CMA'!J78)</f>
        <v>1015676.5824989905</v>
      </c>
      <c r="K335" s="32">
        <f>IF(INDEX(E_budgeted!$B$3:$G$13,MATCH($A335,E_budgeted!$A$3:$A$13,0),MATCH($A$298,E_budgeted!$B$2:$G$2,0))&gt;0,MIN('Breede-Olifants CMA'!K78,E_budgeted!K419),'Breede-Olifants CMA'!K78)</f>
        <v>1015676.5824989905</v>
      </c>
      <c r="L335" s="5">
        <f t="shared" si="235"/>
        <v>1015676.5824989902</v>
      </c>
    </row>
    <row r="336" spans="1:12" x14ac:dyDescent="0.25">
      <c r="A336" s="4" t="s">
        <v>14</v>
      </c>
      <c r="B336" s="32">
        <f>IF(INDEX(E_budgeted!$B$3:$G$13,MATCH($A336,E_budgeted!$A$3:$A$13,0),MATCH($A$298,E_budgeted!$B$2:$G$2,0))&gt;0,MIN('Breede-Olifants CMA'!B79,E_budgeted!B420),'Breede-Olifants CMA'!B79)</f>
        <v>0</v>
      </c>
      <c r="C336" s="32">
        <f>IF(INDEX(E_budgeted!$B$3:$G$13,MATCH($A336,E_budgeted!$A$3:$A$13,0),MATCH($A$298,E_budgeted!$B$2:$G$2,0))&gt;0,MIN('Breede-Olifants CMA'!C79,E_budgeted!C420),'Breede-Olifants CMA'!C79)</f>
        <v>0</v>
      </c>
      <c r="D336" s="32">
        <f>IF(INDEX(E_budgeted!$B$3:$G$13,MATCH($A336,E_budgeted!$A$3:$A$13,0),MATCH($A$298,E_budgeted!$B$2:$G$2,0))&gt;0,MIN('Breede-Olifants CMA'!D79,E_budgeted!D420),'Breede-Olifants CMA'!D79)</f>
        <v>0</v>
      </c>
      <c r="E336" s="32">
        <f>IF(INDEX(E_budgeted!$B$3:$G$13,MATCH($A336,E_budgeted!$A$3:$A$13,0),MATCH($A$298,E_budgeted!$B$2:$G$2,0))&gt;0,MIN('Breede-Olifants CMA'!E79,E_budgeted!E420),'Breede-Olifants CMA'!E79)</f>
        <v>0</v>
      </c>
      <c r="F336" s="32">
        <f>IF(INDEX(E_budgeted!$B$3:$G$13,MATCH($A336,E_budgeted!$A$3:$A$13,0),MATCH($A$298,E_budgeted!$B$2:$G$2,0))&gt;0,MIN('Breede-Olifants CMA'!F79,E_budgeted!F420),'Breede-Olifants CMA'!F79)</f>
        <v>0</v>
      </c>
      <c r="G336" s="32">
        <f>IF(INDEX(E_budgeted!$B$3:$G$13,MATCH($A336,E_budgeted!$A$3:$A$13,0),MATCH($A$298,E_budgeted!$B$2:$G$2,0))&gt;0,MIN('Breede-Olifants CMA'!G79,E_budgeted!G420),'Breede-Olifants CMA'!G79)</f>
        <v>0</v>
      </c>
      <c r="H336" s="32">
        <f>IF(INDEX(E_budgeted!$B$3:$G$13,MATCH($A336,E_budgeted!$A$3:$A$13,0),MATCH($A$298,E_budgeted!$B$2:$G$2,0))&gt;0,MIN('Breede-Olifants CMA'!H79,E_budgeted!H420),'Breede-Olifants CMA'!H79)</f>
        <v>0</v>
      </c>
      <c r="I336" s="32">
        <f>IF(INDEX(E_budgeted!$B$3:$G$13,MATCH($A336,E_budgeted!$A$3:$A$13,0),MATCH($A$298,E_budgeted!$B$2:$G$2,0))&gt;0,MIN('Breede-Olifants CMA'!I79,E_budgeted!I420),'Breede-Olifants CMA'!I79)</f>
        <v>0</v>
      </c>
      <c r="J336" s="32">
        <f>IF(INDEX(E_budgeted!$B$3:$G$13,MATCH($A336,E_budgeted!$A$3:$A$13,0),MATCH($A$298,E_budgeted!$B$2:$G$2,0))&gt;0,MIN('Breede-Olifants CMA'!J79,E_budgeted!J420),'Breede-Olifants CMA'!J79)</f>
        <v>0</v>
      </c>
      <c r="K336" s="32">
        <f>IF(INDEX(E_budgeted!$B$3:$G$13,MATCH($A336,E_budgeted!$A$3:$A$13,0),MATCH($A$298,E_budgeted!$B$2:$G$2,0))&gt;0,MIN('Breede-Olifants CMA'!K79,E_budgeted!K420),'Breede-Olifants CMA'!K79)</f>
        <v>0</v>
      </c>
      <c r="L336" s="5">
        <f t="shared" si="235"/>
        <v>0</v>
      </c>
    </row>
    <row r="337" spans="1:12" x14ac:dyDescent="0.25">
      <c r="A337" s="4" t="s">
        <v>125</v>
      </c>
      <c r="B337" s="32">
        <f>IF(INDEX(E_budgeted!$B$3:$G$13,MATCH($A337,E_budgeted!$A$3:$A$13,0),MATCH($A$298,E_budgeted!$B$2:$G$2,0))&gt;0,MIN('Breede-Olifants CMA'!B80,E_budgeted!B421),'Breede-Olifants CMA'!B80)</f>
        <v>559454.77480221272</v>
      </c>
      <c r="C337" s="32">
        <f>IF(INDEX(E_budgeted!$B$3:$G$13,MATCH($A337,E_budgeted!$A$3:$A$13,0),MATCH($A$298,E_budgeted!$B$2:$G$2,0))&gt;0,MIN('Breede-Olifants CMA'!C80,E_budgeted!C421),'Breede-Olifants CMA'!C80)</f>
        <v>559454.77480221272</v>
      </c>
      <c r="D337" s="32">
        <f>IF(INDEX(E_budgeted!$B$3:$G$13,MATCH($A337,E_budgeted!$A$3:$A$13,0),MATCH($A$298,E_budgeted!$B$2:$G$2,0))&gt;0,MIN('Breede-Olifants CMA'!D80,E_budgeted!D421),'Breede-Olifants CMA'!D80)</f>
        <v>559454.77480221272</v>
      </c>
      <c r="E337" s="32">
        <f>IF(INDEX(E_budgeted!$B$3:$G$13,MATCH($A337,E_budgeted!$A$3:$A$13,0),MATCH($A$298,E_budgeted!$B$2:$G$2,0))&gt;0,MIN('Breede-Olifants CMA'!E80,E_budgeted!E421),'Breede-Olifants CMA'!E80)</f>
        <v>559454.77480221272</v>
      </c>
      <c r="F337" s="32">
        <f>IF(INDEX(E_budgeted!$B$3:$G$13,MATCH($A337,E_budgeted!$A$3:$A$13,0),MATCH($A$298,E_budgeted!$B$2:$G$2,0))&gt;0,MIN('Breede-Olifants CMA'!F80,E_budgeted!F421),'Breede-Olifants CMA'!F80)</f>
        <v>559454.77480221272</v>
      </c>
      <c r="G337" s="32">
        <f>IF(INDEX(E_budgeted!$B$3:$G$13,MATCH($A337,E_budgeted!$A$3:$A$13,0),MATCH($A$298,E_budgeted!$B$2:$G$2,0))&gt;0,MIN('Breede-Olifants CMA'!G80,E_budgeted!G421),'Breede-Olifants CMA'!G80)</f>
        <v>559454.77480221272</v>
      </c>
      <c r="H337" s="32">
        <f>IF(INDEX(E_budgeted!$B$3:$G$13,MATCH($A337,E_budgeted!$A$3:$A$13,0),MATCH($A$298,E_budgeted!$B$2:$G$2,0))&gt;0,MIN('Breede-Olifants CMA'!H80,E_budgeted!H421),'Breede-Olifants CMA'!H80)</f>
        <v>559454.77480221272</v>
      </c>
      <c r="I337" s="32">
        <f>IF(INDEX(E_budgeted!$B$3:$G$13,MATCH($A337,E_budgeted!$A$3:$A$13,0),MATCH($A$298,E_budgeted!$B$2:$G$2,0))&gt;0,MIN('Breede-Olifants CMA'!I80,E_budgeted!I421),'Breede-Olifants CMA'!I80)</f>
        <v>559454.77480221272</v>
      </c>
      <c r="J337" s="32">
        <f>IF(INDEX(E_budgeted!$B$3:$G$13,MATCH($A337,E_budgeted!$A$3:$A$13,0),MATCH($A$298,E_budgeted!$B$2:$G$2,0))&gt;0,MIN('Breede-Olifants CMA'!J80,E_budgeted!J421),'Breede-Olifants CMA'!J80)</f>
        <v>559454.77480221272</v>
      </c>
      <c r="K337" s="32">
        <f>IF(INDEX(E_budgeted!$B$3:$G$13,MATCH($A337,E_budgeted!$A$3:$A$13,0),MATCH($A$298,E_budgeted!$B$2:$G$2,0))&gt;0,MIN('Breede-Olifants CMA'!K80,E_budgeted!K421),'Breede-Olifants CMA'!K80)</f>
        <v>559454.77480221272</v>
      </c>
      <c r="L337" s="5">
        <f t="shared" si="235"/>
        <v>559454.77480221272</v>
      </c>
    </row>
    <row r="338" spans="1:12" x14ac:dyDescent="0.25">
      <c r="A338" s="4" t="s">
        <v>37</v>
      </c>
      <c r="B338" s="32">
        <f>IF(INDEX(E_budgeted!$B$3:$G$13,MATCH($A338,E_budgeted!$A$3:$A$13,0),MATCH($A$298,E_budgeted!$B$2:$G$2,0))&gt;0,MIN('Breede-Olifants CMA'!B81,E_budgeted!B422),'Breede-Olifants CMA'!B81)</f>
        <v>10196606.944583049</v>
      </c>
      <c r="C338" s="32">
        <f>IF(INDEX(E_budgeted!$B$3:$G$13,MATCH($A338,E_budgeted!$A$3:$A$13,0),MATCH($A$298,E_budgeted!$B$2:$G$2,0))&gt;0,MIN('Breede-Olifants CMA'!C81,E_budgeted!C422),'Breede-Olifants CMA'!C81)</f>
        <v>10196606.944583049</v>
      </c>
      <c r="D338" s="32">
        <f>IF(INDEX(E_budgeted!$B$3:$G$13,MATCH($A338,E_budgeted!$A$3:$A$13,0),MATCH($A$298,E_budgeted!$B$2:$G$2,0))&gt;0,MIN('Breede-Olifants CMA'!D81,E_budgeted!D422),'Breede-Olifants CMA'!D81)</f>
        <v>10196606.944583049</v>
      </c>
      <c r="E338" s="32">
        <f>IF(INDEX(E_budgeted!$B$3:$G$13,MATCH($A338,E_budgeted!$A$3:$A$13,0),MATCH($A$298,E_budgeted!$B$2:$G$2,0))&gt;0,MIN('Breede-Olifants CMA'!E81,E_budgeted!E422),'Breede-Olifants CMA'!E81)</f>
        <v>10196606.944583049</v>
      </c>
      <c r="F338" s="32">
        <f>IF(INDEX(E_budgeted!$B$3:$G$13,MATCH($A338,E_budgeted!$A$3:$A$13,0),MATCH($A$298,E_budgeted!$B$2:$G$2,0))&gt;0,MIN('Breede-Olifants CMA'!F81,E_budgeted!F422),'Breede-Olifants CMA'!F81)</f>
        <v>10196606.944583049</v>
      </c>
      <c r="G338" s="32">
        <f>IF(INDEX(E_budgeted!$B$3:$G$13,MATCH($A338,E_budgeted!$A$3:$A$13,0),MATCH($A$298,E_budgeted!$B$2:$G$2,0))&gt;0,MIN('Breede-Olifants CMA'!G81,E_budgeted!G422),'Breede-Olifants CMA'!G81)</f>
        <v>10196606.944583049</v>
      </c>
      <c r="H338" s="32">
        <f>IF(INDEX(E_budgeted!$B$3:$G$13,MATCH($A338,E_budgeted!$A$3:$A$13,0),MATCH($A$298,E_budgeted!$B$2:$G$2,0))&gt;0,MIN('Breede-Olifants CMA'!H81,E_budgeted!H422),'Breede-Olifants CMA'!H81)</f>
        <v>10196606.944583049</v>
      </c>
      <c r="I338" s="32">
        <f>IF(INDEX(E_budgeted!$B$3:$G$13,MATCH($A338,E_budgeted!$A$3:$A$13,0),MATCH($A$298,E_budgeted!$B$2:$G$2,0))&gt;0,MIN('Breede-Olifants CMA'!I81,E_budgeted!I422),'Breede-Olifants CMA'!I81)</f>
        <v>10196606.944583049</v>
      </c>
      <c r="J338" s="32">
        <f>IF(INDEX(E_budgeted!$B$3:$G$13,MATCH($A338,E_budgeted!$A$3:$A$13,0),MATCH($A$298,E_budgeted!$B$2:$G$2,0))&gt;0,MIN('Breede-Olifants CMA'!J81,E_budgeted!J422),'Breede-Olifants CMA'!J81)</f>
        <v>10196606.944583049</v>
      </c>
      <c r="K338" s="32">
        <f>IF(INDEX(E_budgeted!$B$3:$G$13,MATCH($A338,E_budgeted!$A$3:$A$13,0),MATCH($A$298,E_budgeted!$B$2:$G$2,0))&gt;0,MIN('Breede-Olifants CMA'!K81,E_budgeted!K422),'Breede-Olifants CMA'!K81)</f>
        <v>10196606.944583049</v>
      </c>
      <c r="L338" s="5">
        <f t="shared" si="235"/>
        <v>10196606.944583047</v>
      </c>
    </row>
    <row r="339" spans="1:12" x14ac:dyDescent="0.25">
      <c r="A339" s="4" t="s">
        <v>38</v>
      </c>
      <c r="B339" s="32">
        <f>IF(INDEX(E_budgeted!$B$3:$G$13,MATCH($A339,E_budgeted!$A$3:$A$13,0),MATCH($A$298,E_budgeted!$B$2:$G$2,0))&gt;0,MIN('Breede-Olifants CMA'!B82,E_budgeted!B423),'Breede-Olifants CMA'!B82)</f>
        <v>0</v>
      </c>
      <c r="C339" s="32">
        <f>IF(INDEX(E_budgeted!$B$3:$G$13,MATCH($A339,E_budgeted!$A$3:$A$13,0),MATCH($A$298,E_budgeted!$B$2:$G$2,0))&gt;0,MIN('Breede-Olifants CMA'!C82,E_budgeted!C423),'Breede-Olifants CMA'!C82)</f>
        <v>0</v>
      </c>
      <c r="D339" s="32">
        <f>IF(INDEX(E_budgeted!$B$3:$G$13,MATCH($A339,E_budgeted!$A$3:$A$13,0),MATCH($A$298,E_budgeted!$B$2:$G$2,0))&gt;0,MIN('Breede-Olifants CMA'!D82,E_budgeted!D423),'Breede-Olifants CMA'!D82)</f>
        <v>0</v>
      </c>
      <c r="E339" s="32">
        <f>IF(INDEX(E_budgeted!$B$3:$G$13,MATCH($A339,E_budgeted!$A$3:$A$13,0),MATCH($A$298,E_budgeted!$B$2:$G$2,0))&gt;0,MIN('Breede-Olifants CMA'!E82,E_budgeted!E423),'Breede-Olifants CMA'!E82)</f>
        <v>0</v>
      </c>
      <c r="F339" s="32">
        <f>IF(INDEX(E_budgeted!$B$3:$G$13,MATCH($A339,E_budgeted!$A$3:$A$13,0),MATCH($A$298,E_budgeted!$B$2:$G$2,0))&gt;0,MIN('Breede-Olifants CMA'!F82,E_budgeted!F423),'Breede-Olifants CMA'!F82)</f>
        <v>0</v>
      </c>
      <c r="G339" s="32">
        <f>IF(INDEX(E_budgeted!$B$3:$G$13,MATCH($A339,E_budgeted!$A$3:$A$13,0),MATCH($A$298,E_budgeted!$B$2:$G$2,0))&gt;0,MIN('Breede-Olifants CMA'!G82,E_budgeted!G423),'Breede-Olifants CMA'!G82)</f>
        <v>0</v>
      </c>
      <c r="H339" s="32">
        <f>IF(INDEX(E_budgeted!$B$3:$G$13,MATCH($A339,E_budgeted!$A$3:$A$13,0),MATCH($A$298,E_budgeted!$B$2:$G$2,0))&gt;0,MIN('Breede-Olifants CMA'!H82,E_budgeted!H423),'Breede-Olifants CMA'!H82)</f>
        <v>0</v>
      </c>
      <c r="I339" s="32">
        <f>IF(INDEX(E_budgeted!$B$3:$G$13,MATCH($A339,E_budgeted!$A$3:$A$13,0),MATCH($A$298,E_budgeted!$B$2:$G$2,0))&gt;0,MIN('Breede-Olifants CMA'!I82,E_budgeted!I423),'Breede-Olifants CMA'!I82)</f>
        <v>0</v>
      </c>
      <c r="J339" s="32">
        <f>IF(INDEX(E_budgeted!$B$3:$G$13,MATCH($A339,E_budgeted!$A$3:$A$13,0),MATCH($A$298,E_budgeted!$B$2:$G$2,0))&gt;0,MIN('Breede-Olifants CMA'!J82,E_budgeted!J423),'Breede-Olifants CMA'!J82)</f>
        <v>0</v>
      </c>
      <c r="K339" s="32">
        <f>IF(INDEX(E_budgeted!$B$3:$G$13,MATCH($A339,E_budgeted!$A$3:$A$13,0),MATCH($A$298,E_budgeted!$B$2:$G$2,0))&gt;0,MIN('Breede-Olifants CMA'!K82,E_budgeted!K423),'Breede-Olifants CMA'!K82)</f>
        <v>0</v>
      </c>
      <c r="L339" s="5">
        <f t="shared" si="235"/>
        <v>0</v>
      </c>
    </row>
    <row r="340" spans="1:12" x14ac:dyDescent="0.25">
      <c r="A340" s="4" t="s">
        <v>15</v>
      </c>
      <c r="B340" s="13">
        <f>IF(INDEX(E_budgeted!$B$3:$G$13,MATCH($A340,E_budgeted!$A$3:$A$13,0),MATCH($A$298,E_budgeted!$B$2:$G$2,0))&gt;0,MIN('Breede-Olifants CMA'!B83,E_budgeted!B424),'Breede-Olifants CMA'!B83)</f>
        <v>5876179.5888820495</v>
      </c>
      <c r="C340" s="13">
        <f>IF(INDEX(E_budgeted!$B$3:$G$13,MATCH($A340,E_budgeted!$A$3:$A$13,0),MATCH($A$298,E_budgeted!$B$2:$G$2,0))&gt;0,MIN('Breede-Olifants CMA'!C83,E_budgeted!C424),'Breede-Olifants CMA'!C83)</f>
        <v>5876179.5888820495</v>
      </c>
      <c r="D340" s="13">
        <f>IF(INDEX(E_budgeted!$B$3:$G$13,MATCH($A340,E_budgeted!$A$3:$A$13,0),MATCH($A$298,E_budgeted!$B$2:$G$2,0))&gt;0,MIN('Breede-Olifants CMA'!D83,E_budgeted!D424),'Breede-Olifants CMA'!D83)</f>
        <v>5876179.5888820495</v>
      </c>
      <c r="E340" s="13">
        <f>IF(INDEX(E_budgeted!$B$3:$G$13,MATCH($A340,E_budgeted!$A$3:$A$13,0),MATCH($A$298,E_budgeted!$B$2:$G$2,0))&gt;0,MIN('Breede-Olifants CMA'!E83,E_budgeted!E424),'Breede-Olifants CMA'!E83)</f>
        <v>5876179.5888820495</v>
      </c>
      <c r="F340" s="13">
        <f>IF(INDEX(E_budgeted!$B$3:$G$13,MATCH($A340,E_budgeted!$A$3:$A$13,0),MATCH($A$298,E_budgeted!$B$2:$G$2,0))&gt;0,MIN('Breede-Olifants CMA'!F83,E_budgeted!F424),'Breede-Olifants CMA'!F83)</f>
        <v>5876179.5888820495</v>
      </c>
      <c r="G340" s="13">
        <f>IF(INDEX(E_budgeted!$B$3:$G$13,MATCH($A340,E_budgeted!$A$3:$A$13,0),MATCH($A$298,E_budgeted!$B$2:$G$2,0))&gt;0,MIN('Breede-Olifants CMA'!G83,E_budgeted!G424),'Breede-Olifants CMA'!G83)</f>
        <v>5876179.5888820495</v>
      </c>
      <c r="H340" s="13">
        <f>IF(INDEX(E_budgeted!$B$3:$G$13,MATCH($A340,E_budgeted!$A$3:$A$13,0),MATCH($A$298,E_budgeted!$B$2:$G$2,0))&gt;0,MIN('Breede-Olifants CMA'!H83,E_budgeted!H424),'Breede-Olifants CMA'!H83)</f>
        <v>5876179.5888820495</v>
      </c>
      <c r="I340" s="13">
        <f>IF(INDEX(E_budgeted!$B$3:$G$13,MATCH($A340,E_budgeted!$A$3:$A$13,0),MATCH($A$298,E_budgeted!$B$2:$G$2,0))&gt;0,MIN('Breede-Olifants CMA'!I83,E_budgeted!I424),'Breede-Olifants CMA'!I83)</f>
        <v>5876179.5888820495</v>
      </c>
      <c r="J340" s="13">
        <f>IF(INDEX(E_budgeted!$B$3:$G$13,MATCH($A340,E_budgeted!$A$3:$A$13,0),MATCH($A$298,E_budgeted!$B$2:$G$2,0))&gt;0,MIN('Breede-Olifants CMA'!J83,E_budgeted!J424),'Breede-Olifants CMA'!J83)</f>
        <v>5876179.5888820495</v>
      </c>
      <c r="K340" s="13">
        <f>IF(INDEX(E_budgeted!$B$3:$G$13,MATCH($A340,E_budgeted!$A$3:$A$13,0),MATCH($A$298,E_budgeted!$B$2:$G$2,0))&gt;0,MIN('Breede-Olifants CMA'!K83,E_budgeted!K424),'Breede-Olifants CMA'!K83)</f>
        <v>5876179.5888820495</v>
      </c>
      <c r="L340" s="5">
        <f t="shared" si="235"/>
        <v>5876179.5888820505</v>
      </c>
    </row>
    <row r="341" spans="1:12" x14ac:dyDescent="0.25">
      <c r="B341" s="5">
        <f>SUM(B330:B340)</f>
        <v>23536203.265541635</v>
      </c>
      <c r="C341" s="5">
        <f t="shared" ref="C341:K341" si="236">SUM(C330:C340)</f>
        <v>23536203.265541635</v>
      </c>
      <c r="D341" s="5">
        <f t="shared" si="236"/>
        <v>23536203.265541635</v>
      </c>
      <c r="E341" s="5">
        <f t="shared" si="236"/>
        <v>23536203.265541635</v>
      </c>
      <c r="F341" s="5">
        <f t="shared" si="236"/>
        <v>23536203.265541635</v>
      </c>
      <c r="G341" s="5">
        <f t="shared" si="236"/>
        <v>23536203.265541635</v>
      </c>
      <c r="H341" s="5">
        <f t="shared" si="236"/>
        <v>23536203.265541635</v>
      </c>
      <c r="I341" s="5">
        <f t="shared" si="236"/>
        <v>23536203.265541635</v>
      </c>
      <c r="J341" s="5">
        <f t="shared" si="236"/>
        <v>23536203.265541635</v>
      </c>
      <c r="K341" s="5">
        <f t="shared" si="236"/>
        <v>23536203.265541635</v>
      </c>
      <c r="L341" s="5"/>
    </row>
    <row r="342" spans="1:12" x14ac:dyDescent="0.25">
      <c r="B342" s="16">
        <f>B341/$B$312</f>
        <v>0.22355558018329968</v>
      </c>
    </row>
    <row r="343" spans="1:12" ht="30" x14ac:dyDescent="0.25">
      <c r="A343" s="15" t="s">
        <v>94</v>
      </c>
      <c r="B343" s="12" t="str">
        <f>'Summary dashboard'!C4</f>
        <v>2023</v>
      </c>
      <c r="C343" s="12">
        <f t="shared" ref="C343" si="237">B343+1</f>
        <v>2024</v>
      </c>
      <c r="D343" s="12">
        <f t="shared" ref="D343" si="238">C343+1</f>
        <v>2025</v>
      </c>
      <c r="E343" s="12">
        <f t="shared" ref="E343" si="239">D343+1</f>
        <v>2026</v>
      </c>
      <c r="F343" s="12">
        <f t="shared" ref="F343" si="240">E343+1</f>
        <v>2027</v>
      </c>
      <c r="G343" s="12">
        <f t="shared" ref="G343" si="241">F343+1</f>
        <v>2028</v>
      </c>
      <c r="H343" s="12">
        <f t="shared" ref="H343" si="242">G343+1</f>
        <v>2029</v>
      </c>
      <c r="I343" s="12">
        <f t="shared" ref="I343" si="243">H343+1</f>
        <v>2030</v>
      </c>
      <c r="J343" s="12">
        <f t="shared" ref="J343" si="244">I343+1</f>
        <v>2031</v>
      </c>
      <c r="K343" s="12">
        <f t="shared" ref="K343" si="245">J343+1</f>
        <v>2032</v>
      </c>
      <c r="L343" s="1" t="s">
        <v>28</v>
      </c>
    </row>
    <row r="344" spans="1:12" x14ac:dyDescent="0.25">
      <c r="A344" s="4" t="s">
        <v>35</v>
      </c>
      <c r="B344" s="32">
        <f>IF(INDEX(E_budgeted!$B$3:$G$13,MATCH($A344,E_budgeted!$A$3:$A$13,0),MATCH($A$298,E_budgeted!$B$2:$G$2,0))&gt;0,MIN('Breede-Olifants CMA'!B87,E_budgeted!B428),'Breede-Olifants CMA'!B87)</f>
        <v>5992383.6279233601</v>
      </c>
      <c r="C344" s="32">
        <f>IF(INDEX(E_budgeted!$B$3:$G$13,MATCH($A344,E_budgeted!$A$3:$A$13,0),MATCH($A$298,E_budgeted!$B$2:$G$2,0))&gt;0,MIN('Breede-Olifants CMA'!C87,E_budgeted!C428),'Breede-Olifants CMA'!C87)</f>
        <v>5992383.6279233601</v>
      </c>
      <c r="D344" s="32">
        <f>IF(INDEX(E_budgeted!$B$3:$G$13,MATCH($A344,E_budgeted!$A$3:$A$13,0),MATCH($A$298,E_budgeted!$B$2:$G$2,0))&gt;0,MIN('Breede-Olifants CMA'!D87,E_budgeted!D428),'Breede-Olifants CMA'!D87)</f>
        <v>5992383.6279233601</v>
      </c>
      <c r="E344" s="32">
        <f>IF(INDEX(E_budgeted!$B$3:$G$13,MATCH($A344,E_budgeted!$A$3:$A$13,0),MATCH($A$298,E_budgeted!$B$2:$G$2,0))&gt;0,MIN('Breede-Olifants CMA'!E87,E_budgeted!E428),'Breede-Olifants CMA'!E87)</f>
        <v>5992383.6279233601</v>
      </c>
      <c r="F344" s="32">
        <f>IF(INDEX(E_budgeted!$B$3:$G$13,MATCH($A344,E_budgeted!$A$3:$A$13,0),MATCH($A$298,E_budgeted!$B$2:$G$2,0))&gt;0,MIN('Breede-Olifants CMA'!F87,E_budgeted!F428),'Breede-Olifants CMA'!F87)</f>
        <v>5992383.6279233601</v>
      </c>
      <c r="G344" s="32">
        <f>IF(INDEX(E_budgeted!$B$3:$G$13,MATCH($A344,E_budgeted!$A$3:$A$13,0),MATCH($A$298,E_budgeted!$B$2:$G$2,0))&gt;0,MIN('Breede-Olifants CMA'!G87,E_budgeted!G428),'Breede-Olifants CMA'!G87)</f>
        <v>5992383.6279233601</v>
      </c>
      <c r="H344" s="32">
        <f>IF(INDEX(E_budgeted!$B$3:$G$13,MATCH($A344,E_budgeted!$A$3:$A$13,0),MATCH($A$298,E_budgeted!$B$2:$G$2,0))&gt;0,MIN('Breede-Olifants CMA'!H87,E_budgeted!H428),'Breede-Olifants CMA'!H87)</f>
        <v>5992383.6279233601</v>
      </c>
      <c r="I344" s="32">
        <f>IF(INDEX(E_budgeted!$B$3:$G$13,MATCH($A344,E_budgeted!$A$3:$A$13,0),MATCH($A$298,E_budgeted!$B$2:$G$2,0))&gt;0,MIN('Breede-Olifants CMA'!I87,E_budgeted!I428),'Breede-Olifants CMA'!I87)</f>
        <v>5992383.6279233601</v>
      </c>
      <c r="J344" s="32">
        <f>IF(INDEX(E_budgeted!$B$3:$G$13,MATCH($A344,E_budgeted!$A$3:$A$13,0),MATCH($A$298,E_budgeted!$B$2:$G$2,0))&gt;0,MIN('Breede-Olifants CMA'!J87,E_budgeted!J428),'Breede-Olifants CMA'!J87)</f>
        <v>5992383.6279233601</v>
      </c>
      <c r="K344" s="32">
        <f>IF(INDEX(E_budgeted!$B$3:$G$13,MATCH($A344,E_budgeted!$A$3:$A$13,0),MATCH($A$298,E_budgeted!$B$2:$G$2,0))&gt;0,MIN('Breede-Olifants CMA'!K87,E_budgeted!K428),'Breede-Olifants CMA'!K87)</f>
        <v>5992383.6279233601</v>
      </c>
      <c r="L344" s="5">
        <f>AVERAGE(B344:K344)</f>
        <v>5992383.627923361</v>
      </c>
    </row>
    <row r="345" spans="1:12" x14ac:dyDescent="0.25">
      <c r="A345" s="4" t="s">
        <v>36</v>
      </c>
      <c r="B345" s="32">
        <f>IF(INDEX(E_budgeted!$B$3:$G$13,MATCH($A345,E_budgeted!$A$3:$A$13,0),MATCH($A$298,E_budgeted!$B$2:$G$2,0))&gt;0,MIN('Breede-Olifants CMA'!B88,E_budgeted!B429),'Breede-Olifants CMA'!B88)</f>
        <v>980574.72591986891</v>
      </c>
      <c r="C345" s="32">
        <f>IF(INDEX(E_budgeted!$B$3:$G$13,MATCH($A345,E_budgeted!$A$3:$A$13,0),MATCH($A$298,E_budgeted!$B$2:$G$2,0))&gt;0,MIN('Breede-Olifants CMA'!C88,E_budgeted!C429),'Breede-Olifants CMA'!C88)</f>
        <v>980574.72591986891</v>
      </c>
      <c r="D345" s="32">
        <f>IF(INDEX(E_budgeted!$B$3:$G$13,MATCH($A345,E_budgeted!$A$3:$A$13,0),MATCH($A$298,E_budgeted!$B$2:$G$2,0))&gt;0,MIN('Breede-Olifants CMA'!D88,E_budgeted!D429),'Breede-Olifants CMA'!D88)</f>
        <v>980574.72591986891</v>
      </c>
      <c r="E345" s="32">
        <f>IF(INDEX(E_budgeted!$B$3:$G$13,MATCH($A345,E_budgeted!$A$3:$A$13,0),MATCH($A$298,E_budgeted!$B$2:$G$2,0))&gt;0,MIN('Breede-Olifants CMA'!E88,E_budgeted!E429),'Breede-Olifants CMA'!E88)</f>
        <v>980574.72591986891</v>
      </c>
      <c r="F345" s="32">
        <f>IF(INDEX(E_budgeted!$B$3:$G$13,MATCH($A345,E_budgeted!$A$3:$A$13,0),MATCH($A$298,E_budgeted!$B$2:$G$2,0))&gt;0,MIN('Breede-Olifants CMA'!F88,E_budgeted!F429),'Breede-Olifants CMA'!F88)</f>
        <v>980574.72591986891</v>
      </c>
      <c r="G345" s="32">
        <f>IF(INDEX(E_budgeted!$B$3:$G$13,MATCH($A345,E_budgeted!$A$3:$A$13,0),MATCH($A$298,E_budgeted!$B$2:$G$2,0))&gt;0,MIN('Breede-Olifants CMA'!G88,E_budgeted!G429),'Breede-Olifants CMA'!G88)</f>
        <v>980574.72591986891</v>
      </c>
      <c r="H345" s="32">
        <f>IF(INDEX(E_budgeted!$B$3:$G$13,MATCH($A345,E_budgeted!$A$3:$A$13,0),MATCH($A$298,E_budgeted!$B$2:$G$2,0))&gt;0,MIN('Breede-Olifants CMA'!H88,E_budgeted!H429),'Breede-Olifants CMA'!H88)</f>
        <v>980574.72591986891</v>
      </c>
      <c r="I345" s="32">
        <f>IF(INDEX(E_budgeted!$B$3:$G$13,MATCH($A345,E_budgeted!$A$3:$A$13,0),MATCH($A$298,E_budgeted!$B$2:$G$2,0))&gt;0,MIN('Breede-Olifants CMA'!I88,E_budgeted!I429),'Breede-Olifants CMA'!I88)</f>
        <v>980574.72591986891</v>
      </c>
      <c r="J345" s="32">
        <f>IF(INDEX(E_budgeted!$B$3:$G$13,MATCH($A345,E_budgeted!$A$3:$A$13,0),MATCH($A$298,E_budgeted!$B$2:$G$2,0))&gt;0,MIN('Breede-Olifants CMA'!J88,E_budgeted!J429),'Breede-Olifants CMA'!J88)</f>
        <v>980574.72591986891</v>
      </c>
      <c r="K345" s="32">
        <f>IF(INDEX(E_budgeted!$B$3:$G$13,MATCH($A345,E_budgeted!$A$3:$A$13,0),MATCH($A$298,E_budgeted!$B$2:$G$2,0))&gt;0,MIN('Breede-Olifants CMA'!K88,E_budgeted!K429),'Breede-Olifants CMA'!K88)</f>
        <v>980574.72591986891</v>
      </c>
      <c r="L345" s="5">
        <f t="shared" ref="L345:L354" si="246">AVERAGE(B345:K345)</f>
        <v>980574.72591986903</v>
      </c>
    </row>
    <row r="346" spans="1:12" x14ac:dyDescent="0.25">
      <c r="A346" s="4" t="s">
        <v>11</v>
      </c>
      <c r="B346" s="32">
        <f>IF(INDEX(E_budgeted!$B$3:$G$13,MATCH($A346,E_budgeted!$A$3:$A$13,0),MATCH($A$298,E_budgeted!$B$2:$G$2,0))&gt;0,MIN('Breede-Olifants CMA'!B89,E_budgeted!B430),'Breede-Olifants CMA'!B89)</f>
        <v>0</v>
      </c>
      <c r="C346" s="32">
        <f>IF(INDEX(E_budgeted!$B$3:$G$13,MATCH($A346,E_budgeted!$A$3:$A$13,0),MATCH($A$298,E_budgeted!$B$2:$G$2,0))&gt;0,MIN('Breede-Olifants CMA'!C89,E_budgeted!C430),'Breede-Olifants CMA'!C89)</f>
        <v>0</v>
      </c>
      <c r="D346" s="32">
        <f>IF(INDEX(E_budgeted!$B$3:$G$13,MATCH($A346,E_budgeted!$A$3:$A$13,0),MATCH($A$298,E_budgeted!$B$2:$G$2,0))&gt;0,MIN('Breede-Olifants CMA'!D89,E_budgeted!D430),'Breede-Olifants CMA'!D89)</f>
        <v>0</v>
      </c>
      <c r="E346" s="32">
        <f>IF(INDEX(E_budgeted!$B$3:$G$13,MATCH($A346,E_budgeted!$A$3:$A$13,0),MATCH($A$298,E_budgeted!$B$2:$G$2,0))&gt;0,MIN('Breede-Olifants CMA'!E89,E_budgeted!E430),'Breede-Olifants CMA'!E89)</f>
        <v>0</v>
      </c>
      <c r="F346" s="32">
        <f>IF(INDEX(E_budgeted!$B$3:$G$13,MATCH($A346,E_budgeted!$A$3:$A$13,0),MATCH($A$298,E_budgeted!$B$2:$G$2,0))&gt;0,MIN('Breede-Olifants CMA'!F89,E_budgeted!F430),'Breede-Olifants CMA'!F89)</f>
        <v>0</v>
      </c>
      <c r="G346" s="32">
        <f>IF(INDEX(E_budgeted!$B$3:$G$13,MATCH($A346,E_budgeted!$A$3:$A$13,0),MATCH($A$298,E_budgeted!$B$2:$G$2,0))&gt;0,MIN('Breede-Olifants CMA'!G89,E_budgeted!G430),'Breede-Olifants CMA'!G89)</f>
        <v>0</v>
      </c>
      <c r="H346" s="32">
        <f>IF(INDEX(E_budgeted!$B$3:$G$13,MATCH($A346,E_budgeted!$A$3:$A$13,0),MATCH($A$298,E_budgeted!$B$2:$G$2,0))&gt;0,MIN('Breede-Olifants CMA'!H89,E_budgeted!H430),'Breede-Olifants CMA'!H89)</f>
        <v>0</v>
      </c>
      <c r="I346" s="32">
        <f>IF(INDEX(E_budgeted!$B$3:$G$13,MATCH($A346,E_budgeted!$A$3:$A$13,0),MATCH($A$298,E_budgeted!$B$2:$G$2,0))&gt;0,MIN('Breede-Olifants CMA'!I89,E_budgeted!I430),'Breede-Olifants CMA'!I89)</f>
        <v>0</v>
      </c>
      <c r="J346" s="32">
        <f>IF(INDEX(E_budgeted!$B$3:$G$13,MATCH($A346,E_budgeted!$A$3:$A$13,0),MATCH($A$298,E_budgeted!$B$2:$G$2,0))&gt;0,MIN('Breede-Olifants CMA'!J89,E_budgeted!J430),'Breede-Olifants CMA'!J89)</f>
        <v>0</v>
      </c>
      <c r="K346" s="32">
        <f>IF(INDEX(E_budgeted!$B$3:$G$13,MATCH($A346,E_budgeted!$A$3:$A$13,0),MATCH($A$298,E_budgeted!$B$2:$G$2,0))&gt;0,MIN('Breede-Olifants CMA'!K89,E_budgeted!K430),'Breede-Olifants CMA'!K89)</f>
        <v>0</v>
      </c>
      <c r="L346" s="5">
        <f t="shared" si="246"/>
        <v>0</v>
      </c>
    </row>
    <row r="347" spans="1:12" x14ac:dyDescent="0.25">
      <c r="A347" s="4" t="s">
        <v>124</v>
      </c>
      <c r="B347" s="32">
        <f>IF(INDEX(E_budgeted!$B$3:$G$13,MATCH($A347,E_budgeted!$A$3:$A$13,0),MATCH($A$298,E_budgeted!$B$2:$G$2,0))&gt;0,MIN('Breede-Olifants CMA'!B90,E_budgeted!B431),'Breede-Olifants CMA'!B90)</f>
        <v>350000</v>
      </c>
      <c r="C347" s="32">
        <f>IF(INDEX(E_budgeted!$B$3:$G$13,MATCH($A347,E_budgeted!$A$3:$A$13,0),MATCH($A$298,E_budgeted!$B$2:$G$2,0))&gt;0,MIN('Breede-Olifants CMA'!C90,E_budgeted!C431),'Breede-Olifants CMA'!C90)</f>
        <v>350000</v>
      </c>
      <c r="D347" s="32">
        <f>IF(INDEX(E_budgeted!$B$3:$G$13,MATCH($A347,E_budgeted!$A$3:$A$13,0),MATCH($A$298,E_budgeted!$B$2:$G$2,0))&gt;0,MIN('Breede-Olifants CMA'!D90,E_budgeted!D431),'Breede-Olifants CMA'!D90)</f>
        <v>350000</v>
      </c>
      <c r="E347" s="32">
        <f>IF(INDEX(E_budgeted!$B$3:$G$13,MATCH($A347,E_budgeted!$A$3:$A$13,0),MATCH($A$298,E_budgeted!$B$2:$G$2,0))&gt;0,MIN('Breede-Olifants CMA'!E90,E_budgeted!E431),'Breede-Olifants CMA'!E90)</f>
        <v>350000</v>
      </c>
      <c r="F347" s="32">
        <f>IF(INDEX(E_budgeted!$B$3:$G$13,MATCH($A347,E_budgeted!$A$3:$A$13,0),MATCH($A$298,E_budgeted!$B$2:$G$2,0))&gt;0,MIN('Breede-Olifants CMA'!F90,E_budgeted!F431),'Breede-Olifants CMA'!F90)</f>
        <v>350000</v>
      </c>
      <c r="G347" s="32">
        <f>IF(INDEX(E_budgeted!$B$3:$G$13,MATCH($A347,E_budgeted!$A$3:$A$13,0),MATCH($A$298,E_budgeted!$B$2:$G$2,0))&gt;0,MIN('Breede-Olifants CMA'!G90,E_budgeted!G431),'Breede-Olifants CMA'!G90)</f>
        <v>350000</v>
      </c>
      <c r="H347" s="32">
        <f>IF(INDEX(E_budgeted!$B$3:$G$13,MATCH($A347,E_budgeted!$A$3:$A$13,0),MATCH($A$298,E_budgeted!$B$2:$G$2,0))&gt;0,MIN('Breede-Olifants CMA'!H90,E_budgeted!H431),'Breede-Olifants CMA'!H90)</f>
        <v>350000</v>
      </c>
      <c r="I347" s="32">
        <f>IF(INDEX(E_budgeted!$B$3:$G$13,MATCH($A347,E_budgeted!$A$3:$A$13,0),MATCH($A$298,E_budgeted!$B$2:$G$2,0))&gt;0,MIN('Breede-Olifants CMA'!I90,E_budgeted!I431),'Breede-Olifants CMA'!I90)</f>
        <v>350000</v>
      </c>
      <c r="J347" s="32">
        <f>IF(INDEX(E_budgeted!$B$3:$G$13,MATCH($A347,E_budgeted!$A$3:$A$13,0),MATCH($A$298,E_budgeted!$B$2:$G$2,0))&gt;0,MIN('Breede-Olifants CMA'!J90,E_budgeted!J431),'Breede-Olifants CMA'!J90)</f>
        <v>350000</v>
      </c>
      <c r="K347" s="32">
        <f>IF(INDEX(E_budgeted!$B$3:$G$13,MATCH($A347,E_budgeted!$A$3:$A$13,0),MATCH($A$298,E_budgeted!$B$2:$G$2,0))&gt;0,MIN('Breede-Olifants CMA'!K90,E_budgeted!K431),'Breede-Olifants CMA'!K90)</f>
        <v>350000</v>
      </c>
      <c r="L347" s="5">
        <f t="shared" si="246"/>
        <v>350000</v>
      </c>
    </row>
    <row r="348" spans="1:12" x14ac:dyDescent="0.25">
      <c r="A348" s="4" t="s">
        <v>12</v>
      </c>
      <c r="B348" s="32">
        <f>IF(INDEX(E_budgeted!$B$3:$G$13,MATCH($A348,E_budgeted!$A$3:$A$13,0),MATCH($A$298,E_budgeted!$B$2:$G$2,0))&gt;0,MIN('Breede-Olifants CMA'!B91,E_budgeted!B432),'Breede-Olifants CMA'!B91)</f>
        <v>1409700.1294214502</v>
      </c>
      <c r="C348" s="32">
        <f>IF(INDEX(E_budgeted!$B$3:$G$13,MATCH($A348,E_budgeted!$A$3:$A$13,0),MATCH($A$298,E_budgeted!$B$2:$G$2,0))&gt;0,MIN('Breede-Olifants CMA'!C91,E_budgeted!C432),'Breede-Olifants CMA'!C91)</f>
        <v>1409700.1294214502</v>
      </c>
      <c r="D348" s="32">
        <f>IF(INDEX(E_budgeted!$B$3:$G$13,MATCH($A348,E_budgeted!$A$3:$A$13,0),MATCH($A$298,E_budgeted!$B$2:$G$2,0))&gt;0,MIN('Breede-Olifants CMA'!D91,E_budgeted!D432),'Breede-Olifants CMA'!D91)</f>
        <v>1409700.1294214502</v>
      </c>
      <c r="E348" s="32">
        <f>IF(INDEX(E_budgeted!$B$3:$G$13,MATCH($A348,E_budgeted!$A$3:$A$13,0),MATCH($A$298,E_budgeted!$B$2:$G$2,0))&gt;0,MIN('Breede-Olifants CMA'!E91,E_budgeted!E432),'Breede-Olifants CMA'!E91)</f>
        <v>1409700.1294214502</v>
      </c>
      <c r="F348" s="32">
        <f>IF(INDEX(E_budgeted!$B$3:$G$13,MATCH($A348,E_budgeted!$A$3:$A$13,0),MATCH($A$298,E_budgeted!$B$2:$G$2,0))&gt;0,MIN('Breede-Olifants CMA'!F91,E_budgeted!F432),'Breede-Olifants CMA'!F91)</f>
        <v>1409700.1294214502</v>
      </c>
      <c r="G348" s="32">
        <f>IF(INDEX(E_budgeted!$B$3:$G$13,MATCH($A348,E_budgeted!$A$3:$A$13,0),MATCH($A$298,E_budgeted!$B$2:$G$2,0))&gt;0,MIN('Breede-Olifants CMA'!G91,E_budgeted!G432),'Breede-Olifants CMA'!G91)</f>
        <v>1409700.1294214502</v>
      </c>
      <c r="H348" s="32">
        <f>IF(INDEX(E_budgeted!$B$3:$G$13,MATCH($A348,E_budgeted!$A$3:$A$13,0),MATCH($A$298,E_budgeted!$B$2:$G$2,0))&gt;0,MIN('Breede-Olifants CMA'!H91,E_budgeted!H432),'Breede-Olifants CMA'!H91)</f>
        <v>1409700.1294214502</v>
      </c>
      <c r="I348" s="32">
        <f>IF(INDEX(E_budgeted!$B$3:$G$13,MATCH($A348,E_budgeted!$A$3:$A$13,0),MATCH($A$298,E_budgeted!$B$2:$G$2,0))&gt;0,MIN('Breede-Olifants CMA'!I91,E_budgeted!I432),'Breede-Olifants CMA'!I91)</f>
        <v>1409700.1294214502</v>
      </c>
      <c r="J348" s="32">
        <f>IF(INDEX(E_budgeted!$B$3:$G$13,MATCH($A348,E_budgeted!$A$3:$A$13,0),MATCH($A$298,E_budgeted!$B$2:$G$2,0))&gt;0,MIN('Breede-Olifants CMA'!J91,E_budgeted!J432),'Breede-Olifants CMA'!J91)</f>
        <v>1409700.1294214502</v>
      </c>
      <c r="K348" s="32">
        <f>IF(INDEX(E_budgeted!$B$3:$G$13,MATCH($A348,E_budgeted!$A$3:$A$13,0),MATCH($A$298,E_budgeted!$B$2:$G$2,0))&gt;0,MIN('Breede-Olifants CMA'!K91,E_budgeted!K432),'Breede-Olifants CMA'!K91)</f>
        <v>1409700.1294214502</v>
      </c>
      <c r="L348" s="5">
        <f t="shared" si="246"/>
        <v>1409700.1294214502</v>
      </c>
    </row>
    <row r="349" spans="1:12" x14ac:dyDescent="0.25">
      <c r="A349" s="4" t="s">
        <v>13</v>
      </c>
      <c r="B349" s="32">
        <f>IF(INDEX(E_budgeted!$B$3:$G$13,MATCH($A349,E_budgeted!$A$3:$A$13,0),MATCH($A$298,E_budgeted!$B$2:$G$2,0))&gt;0,MIN('Breede-Olifants CMA'!B92,E_budgeted!B433),'Breede-Olifants CMA'!B92)</f>
        <v>1523514.8737484859</v>
      </c>
      <c r="C349" s="32">
        <f>IF(INDEX(E_budgeted!$B$3:$G$13,MATCH($A349,E_budgeted!$A$3:$A$13,0),MATCH($A$298,E_budgeted!$B$2:$G$2,0))&gt;0,MIN('Breede-Olifants CMA'!C92,E_budgeted!C433),'Breede-Olifants CMA'!C92)</f>
        <v>1523514.8737484859</v>
      </c>
      <c r="D349" s="32">
        <f>IF(INDEX(E_budgeted!$B$3:$G$13,MATCH($A349,E_budgeted!$A$3:$A$13,0),MATCH($A$298,E_budgeted!$B$2:$G$2,0))&gt;0,MIN('Breede-Olifants CMA'!D92,E_budgeted!D433),'Breede-Olifants CMA'!D92)</f>
        <v>1523514.8737484859</v>
      </c>
      <c r="E349" s="32">
        <f>IF(INDEX(E_budgeted!$B$3:$G$13,MATCH($A349,E_budgeted!$A$3:$A$13,0),MATCH($A$298,E_budgeted!$B$2:$G$2,0))&gt;0,MIN('Breede-Olifants CMA'!E92,E_budgeted!E433),'Breede-Olifants CMA'!E92)</f>
        <v>1523514.8737484859</v>
      </c>
      <c r="F349" s="32">
        <f>IF(INDEX(E_budgeted!$B$3:$G$13,MATCH($A349,E_budgeted!$A$3:$A$13,0),MATCH($A$298,E_budgeted!$B$2:$G$2,0))&gt;0,MIN('Breede-Olifants CMA'!F92,E_budgeted!F433),'Breede-Olifants CMA'!F92)</f>
        <v>1523514.8737484859</v>
      </c>
      <c r="G349" s="32">
        <f>IF(INDEX(E_budgeted!$B$3:$G$13,MATCH($A349,E_budgeted!$A$3:$A$13,0),MATCH($A$298,E_budgeted!$B$2:$G$2,0))&gt;0,MIN('Breede-Olifants CMA'!G92,E_budgeted!G433),'Breede-Olifants CMA'!G92)</f>
        <v>1523514.8737484859</v>
      </c>
      <c r="H349" s="32">
        <f>IF(INDEX(E_budgeted!$B$3:$G$13,MATCH($A349,E_budgeted!$A$3:$A$13,0),MATCH($A$298,E_budgeted!$B$2:$G$2,0))&gt;0,MIN('Breede-Olifants CMA'!H92,E_budgeted!H433),'Breede-Olifants CMA'!H92)</f>
        <v>1523514.8737484859</v>
      </c>
      <c r="I349" s="32">
        <f>IF(INDEX(E_budgeted!$B$3:$G$13,MATCH($A349,E_budgeted!$A$3:$A$13,0),MATCH($A$298,E_budgeted!$B$2:$G$2,0))&gt;0,MIN('Breede-Olifants CMA'!I92,E_budgeted!I433),'Breede-Olifants CMA'!I92)</f>
        <v>1523514.8737484859</v>
      </c>
      <c r="J349" s="32">
        <f>IF(INDEX(E_budgeted!$B$3:$G$13,MATCH($A349,E_budgeted!$A$3:$A$13,0),MATCH($A$298,E_budgeted!$B$2:$G$2,0))&gt;0,MIN('Breede-Olifants CMA'!J92,E_budgeted!J433),'Breede-Olifants CMA'!J92)</f>
        <v>1523514.8737484859</v>
      </c>
      <c r="K349" s="32">
        <f>IF(INDEX(E_budgeted!$B$3:$G$13,MATCH($A349,E_budgeted!$A$3:$A$13,0),MATCH($A$298,E_budgeted!$B$2:$G$2,0))&gt;0,MIN('Breede-Olifants CMA'!K92,E_budgeted!K433),'Breede-Olifants CMA'!K92)</f>
        <v>1523514.8737484859</v>
      </c>
      <c r="L349" s="5">
        <f t="shared" si="246"/>
        <v>1523514.8737484857</v>
      </c>
    </row>
    <row r="350" spans="1:12" x14ac:dyDescent="0.25">
      <c r="A350" s="4" t="s">
        <v>14</v>
      </c>
      <c r="B350" s="32">
        <f>IF(INDEX(E_budgeted!$B$3:$G$13,MATCH($A350,E_budgeted!$A$3:$A$13,0),MATCH($A$298,E_budgeted!$B$2:$G$2,0))&gt;0,MIN('Breede-Olifants CMA'!B93,E_budgeted!B434),'Breede-Olifants CMA'!B93)</f>
        <v>0</v>
      </c>
      <c r="C350" s="32">
        <f>IF(INDEX(E_budgeted!$B$3:$G$13,MATCH($A350,E_budgeted!$A$3:$A$13,0),MATCH($A$298,E_budgeted!$B$2:$G$2,0))&gt;0,MIN('Breede-Olifants CMA'!C93,E_budgeted!C434),'Breede-Olifants CMA'!C93)</f>
        <v>0</v>
      </c>
      <c r="D350" s="32">
        <f>IF(INDEX(E_budgeted!$B$3:$G$13,MATCH($A350,E_budgeted!$A$3:$A$13,0),MATCH($A$298,E_budgeted!$B$2:$G$2,0))&gt;0,MIN('Breede-Olifants CMA'!D93,E_budgeted!D434),'Breede-Olifants CMA'!D93)</f>
        <v>0</v>
      </c>
      <c r="E350" s="32">
        <f>IF(INDEX(E_budgeted!$B$3:$G$13,MATCH($A350,E_budgeted!$A$3:$A$13,0),MATCH($A$298,E_budgeted!$B$2:$G$2,0))&gt;0,MIN('Breede-Olifants CMA'!E93,E_budgeted!E434),'Breede-Olifants CMA'!E93)</f>
        <v>0</v>
      </c>
      <c r="F350" s="32">
        <f>IF(INDEX(E_budgeted!$B$3:$G$13,MATCH($A350,E_budgeted!$A$3:$A$13,0),MATCH($A$298,E_budgeted!$B$2:$G$2,0))&gt;0,MIN('Breede-Olifants CMA'!F93,E_budgeted!F434),'Breede-Olifants CMA'!F93)</f>
        <v>0</v>
      </c>
      <c r="G350" s="32">
        <f>IF(INDEX(E_budgeted!$B$3:$G$13,MATCH($A350,E_budgeted!$A$3:$A$13,0),MATCH($A$298,E_budgeted!$B$2:$G$2,0))&gt;0,MIN('Breede-Olifants CMA'!G93,E_budgeted!G434),'Breede-Olifants CMA'!G93)</f>
        <v>0</v>
      </c>
      <c r="H350" s="32">
        <f>IF(INDEX(E_budgeted!$B$3:$G$13,MATCH($A350,E_budgeted!$A$3:$A$13,0),MATCH($A$298,E_budgeted!$B$2:$G$2,0))&gt;0,MIN('Breede-Olifants CMA'!H93,E_budgeted!H434),'Breede-Olifants CMA'!H93)</f>
        <v>0</v>
      </c>
      <c r="I350" s="32">
        <f>IF(INDEX(E_budgeted!$B$3:$G$13,MATCH($A350,E_budgeted!$A$3:$A$13,0),MATCH($A$298,E_budgeted!$B$2:$G$2,0))&gt;0,MIN('Breede-Olifants CMA'!I93,E_budgeted!I434),'Breede-Olifants CMA'!I93)</f>
        <v>0</v>
      </c>
      <c r="J350" s="32">
        <f>IF(INDEX(E_budgeted!$B$3:$G$13,MATCH($A350,E_budgeted!$A$3:$A$13,0),MATCH($A$298,E_budgeted!$B$2:$G$2,0))&gt;0,MIN('Breede-Olifants CMA'!J93,E_budgeted!J434),'Breede-Olifants CMA'!J93)</f>
        <v>0</v>
      </c>
      <c r="K350" s="32">
        <f>IF(INDEX(E_budgeted!$B$3:$G$13,MATCH($A350,E_budgeted!$A$3:$A$13,0),MATCH($A$298,E_budgeted!$B$2:$G$2,0))&gt;0,MIN('Breede-Olifants CMA'!K93,E_budgeted!K434),'Breede-Olifants CMA'!K93)</f>
        <v>0</v>
      </c>
      <c r="L350" s="5">
        <f t="shared" si="246"/>
        <v>0</v>
      </c>
    </row>
    <row r="351" spans="1:12" x14ac:dyDescent="0.25">
      <c r="A351" s="4" t="s">
        <v>125</v>
      </c>
      <c r="B351" s="32">
        <f>IF(INDEX(E_budgeted!$B$3:$G$13,MATCH($A351,E_budgeted!$A$3:$A$13,0),MATCH($A$298,E_budgeted!$B$2:$G$2,0))&gt;0,MIN('Breede-Olifants CMA'!B94,E_budgeted!B435),'Breede-Olifants CMA'!B94)</f>
        <v>652697.23726924811</v>
      </c>
      <c r="C351" s="32">
        <f>IF(INDEX(E_budgeted!$B$3:$G$13,MATCH($A351,E_budgeted!$A$3:$A$13,0),MATCH($A$298,E_budgeted!$B$2:$G$2,0))&gt;0,MIN('Breede-Olifants CMA'!C94,E_budgeted!C435),'Breede-Olifants CMA'!C94)</f>
        <v>652697.23726924811</v>
      </c>
      <c r="D351" s="32">
        <f>IF(INDEX(E_budgeted!$B$3:$G$13,MATCH($A351,E_budgeted!$A$3:$A$13,0),MATCH($A$298,E_budgeted!$B$2:$G$2,0))&gt;0,MIN('Breede-Olifants CMA'!D94,E_budgeted!D435),'Breede-Olifants CMA'!D94)</f>
        <v>652697.23726924811</v>
      </c>
      <c r="E351" s="32">
        <f>IF(INDEX(E_budgeted!$B$3:$G$13,MATCH($A351,E_budgeted!$A$3:$A$13,0),MATCH($A$298,E_budgeted!$B$2:$G$2,0))&gt;0,MIN('Breede-Olifants CMA'!E94,E_budgeted!E435),'Breede-Olifants CMA'!E94)</f>
        <v>652697.23726924811</v>
      </c>
      <c r="F351" s="32">
        <f>IF(INDEX(E_budgeted!$B$3:$G$13,MATCH($A351,E_budgeted!$A$3:$A$13,0),MATCH($A$298,E_budgeted!$B$2:$G$2,0))&gt;0,MIN('Breede-Olifants CMA'!F94,E_budgeted!F435),'Breede-Olifants CMA'!F94)</f>
        <v>652697.23726924811</v>
      </c>
      <c r="G351" s="32">
        <f>IF(INDEX(E_budgeted!$B$3:$G$13,MATCH($A351,E_budgeted!$A$3:$A$13,0),MATCH($A$298,E_budgeted!$B$2:$G$2,0))&gt;0,MIN('Breede-Olifants CMA'!G94,E_budgeted!G435),'Breede-Olifants CMA'!G94)</f>
        <v>652697.23726924811</v>
      </c>
      <c r="H351" s="32">
        <f>IF(INDEX(E_budgeted!$B$3:$G$13,MATCH($A351,E_budgeted!$A$3:$A$13,0),MATCH($A$298,E_budgeted!$B$2:$G$2,0))&gt;0,MIN('Breede-Olifants CMA'!H94,E_budgeted!H435),'Breede-Olifants CMA'!H94)</f>
        <v>652697.23726924811</v>
      </c>
      <c r="I351" s="32">
        <f>IF(INDEX(E_budgeted!$B$3:$G$13,MATCH($A351,E_budgeted!$A$3:$A$13,0),MATCH($A$298,E_budgeted!$B$2:$G$2,0))&gt;0,MIN('Breede-Olifants CMA'!I94,E_budgeted!I435),'Breede-Olifants CMA'!I94)</f>
        <v>652697.23726924811</v>
      </c>
      <c r="J351" s="32">
        <f>IF(INDEX(E_budgeted!$B$3:$G$13,MATCH($A351,E_budgeted!$A$3:$A$13,0),MATCH($A$298,E_budgeted!$B$2:$G$2,0))&gt;0,MIN('Breede-Olifants CMA'!J94,E_budgeted!J435),'Breede-Olifants CMA'!J94)</f>
        <v>652697.23726924811</v>
      </c>
      <c r="K351" s="32">
        <f>IF(INDEX(E_budgeted!$B$3:$G$13,MATCH($A351,E_budgeted!$A$3:$A$13,0),MATCH($A$298,E_budgeted!$B$2:$G$2,0))&gt;0,MIN('Breede-Olifants CMA'!K94,E_budgeted!K435),'Breede-Olifants CMA'!K94)</f>
        <v>652697.23726924811</v>
      </c>
      <c r="L351" s="5">
        <f t="shared" si="246"/>
        <v>652697.237269248</v>
      </c>
    </row>
    <row r="352" spans="1:12" x14ac:dyDescent="0.25">
      <c r="A352" s="4" t="s">
        <v>37</v>
      </c>
      <c r="B352" s="32">
        <f>IF(INDEX(E_budgeted!$B$3:$G$13,MATCH($A352,E_budgeted!$A$3:$A$13,0),MATCH($A$298,E_budgeted!$B$2:$G$2,0))&gt;0,MIN('Breede-Olifants CMA'!B95,E_budgeted!B436),'Breede-Olifants CMA'!B95)</f>
        <v>12567910.885183757</v>
      </c>
      <c r="C352" s="32">
        <f>IF(INDEX(E_budgeted!$B$3:$G$13,MATCH($A352,E_budgeted!$A$3:$A$13,0),MATCH($A$298,E_budgeted!$B$2:$G$2,0))&gt;0,MIN('Breede-Olifants CMA'!C95,E_budgeted!C436),'Breede-Olifants CMA'!C95)</f>
        <v>12567910.885183757</v>
      </c>
      <c r="D352" s="32">
        <f>IF(INDEX(E_budgeted!$B$3:$G$13,MATCH($A352,E_budgeted!$A$3:$A$13,0),MATCH($A$298,E_budgeted!$B$2:$G$2,0))&gt;0,MIN('Breede-Olifants CMA'!D95,E_budgeted!D436),'Breede-Olifants CMA'!D95)</f>
        <v>12567910.885183757</v>
      </c>
      <c r="E352" s="32">
        <f>IF(INDEX(E_budgeted!$B$3:$G$13,MATCH($A352,E_budgeted!$A$3:$A$13,0),MATCH($A$298,E_budgeted!$B$2:$G$2,0))&gt;0,MIN('Breede-Olifants CMA'!E95,E_budgeted!E436),'Breede-Olifants CMA'!E95)</f>
        <v>12567910.885183757</v>
      </c>
      <c r="F352" s="32">
        <f>IF(INDEX(E_budgeted!$B$3:$G$13,MATCH($A352,E_budgeted!$A$3:$A$13,0),MATCH($A$298,E_budgeted!$B$2:$G$2,0))&gt;0,MIN('Breede-Olifants CMA'!F95,E_budgeted!F436),'Breede-Olifants CMA'!F95)</f>
        <v>12567910.885183757</v>
      </c>
      <c r="G352" s="32">
        <f>IF(INDEX(E_budgeted!$B$3:$G$13,MATCH($A352,E_budgeted!$A$3:$A$13,0),MATCH($A$298,E_budgeted!$B$2:$G$2,0))&gt;0,MIN('Breede-Olifants CMA'!G95,E_budgeted!G436),'Breede-Olifants CMA'!G95)</f>
        <v>12567910.885183757</v>
      </c>
      <c r="H352" s="32">
        <f>IF(INDEX(E_budgeted!$B$3:$G$13,MATCH($A352,E_budgeted!$A$3:$A$13,0),MATCH($A$298,E_budgeted!$B$2:$G$2,0))&gt;0,MIN('Breede-Olifants CMA'!H95,E_budgeted!H436),'Breede-Olifants CMA'!H95)</f>
        <v>12567910.885183757</v>
      </c>
      <c r="I352" s="32">
        <f>IF(INDEX(E_budgeted!$B$3:$G$13,MATCH($A352,E_budgeted!$A$3:$A$13,0),MATCH($A$298,E_budgeted!$B$2:$G$2,0))&gt;0,MIN('Breede-Olifants CMA'!I95,E_budgeted!I436),'Breede-Olifants CMA'!I95)</f>
        <v>12567910.885183757</v>
      </c>
      <c r="J352" s="32">
        <f>IF(INDEX(E_budgeted!$B$3:$G$13,MATCH($A352,E_budgeted!$A$3:$A$13,0),MATCH($A$298,E_budgeted!$B$2:$G$2,0))&gt;0,MIN('Breede-Olifants CMA'!J95,E_budgeted!J436),'Breede-Olifants CMA'!J95)</f>
        <v>12567910.885183757</v>
      </c>
      <c r="K352" s="32">
        <f>IF(INDEX(E_budgeted!$B$3:$G$13,MATCH($A352,E_budgeted!$A$3:$A$13,0),MATCH($A$298,E_budgeted!$B$2:$G$2,0))&gt;0,MIN('Breede-Olifants CMA'!K95,E_budgeted!K436),'Breede-Olifants CMA'!K95)</f>
        <v>12567910.885183757</v>
      </c>
      <c r="L352" s="5">
        <f t="shared" si="246"/>
        <v>12567910.885183755</v>
      </c>
    </row>
    <row r="353" spans="1:12" x14ac:dyDescent="0.25">
      <c r="A353" s="4" t="s">
        <v>38</v>
      </c>
      <c r="B353" s="32">
        <f>IF(INDEX(E_budgeted!$B$3:$G$13,MATCH($A353,E_budgeted!$A$3:$A$13,0),MATCH($A$298,E_budgeted!$B$2:$G$2,0))&gt;0,MIN('Breede-Olifants CMA'!B96,E_budgeted!B437),'Breede-Olifants CMA'!B96)</f>
        <v>181786.92330376717</v>
      </c>
      <c r="C353" s="32">
        <f>IF(INDEX(E_budgeted!$B$3:$G$13,MATCH($A353,E_budgeted!$A$3:$A$13,0),MATCH($A$298,E_budgeted!$B$2:$G$2,0))&gt;0,MIN('Breede-Olifants CMA'!C96,E_budgeted!C437),'Breede-Olifants CMA'!C96)</f>
        <v>181786.92330376717</v>
      </c>
      <c r="D353" s="32">
        <f>IF(INDEX(E_budgeted!$B$3:$G$13,MATCH($A353,E_budgeted!$A$3:$A$13,0),MATCH($A$298,E_budgeted!$B$2:$G$2,0))&gt;0,MIN('Breede-Olifants CMA'!D96,E_budgeted!D437),'Breede-Olifants CMA'!D96)</f>
        <v>181786.92330376717</v>
      </c>
      <c r="E353" s="32">
        <f>IF(INDEX(E_budgeted!$B$3:$G$13,MATCH($A353,E_budgeted!$A$3:$A$13,0),MATCH($A$298,E_budgeted!$B$2:$G$2,0))&gt;0,MIN('Breede-Olifants CMA'!E96,E_budgeted!E437),'Breede-Olifants CMA'!E96)</f>
        <v>181786.92330376717</v>
      </c>
      <c r="F353" s="32">
        <f>IF(INDEX(E_budgeted!$B$3:$G$13,MATCH($A353,E_budgeted!$A$3:$A$13,0),MATCH($A$298,E_budgeted!$B$2:$G$2,0))&gt;0,MIN('Breede-Olifants CMA'!F96,E_budgeted!F437),'Breede-Olifants CMA'!F96)</f>
        <v>181786.92330376717</v>
      </c>
      <c r="G353" s="32">
        <f>IF(INDEX(E_budgeted!$B$3:$G$13,MATCH($A353,E_budgeted!$A$3:$A$13,0),MATCH($A$298,E_budgeted!$B$2:$G$2,0))&gt;0,MIN('Breede-Olifants CMA'!G96,E_budgeted!G437),'Breede-Olifants CMA'!G96)</f>
        <v>181786.92330376717</v>
      </c>
      <c r="H353" s="32">
        <f>IF(INDEX(E_budgeted!$B$3:$G$13,MATCH($A353,E_budgeted!$A$3:$A$13,0),MATCH($A$298,E_budgeted!$B$2:$G$2,0))&gt;0,MIN('Breede-Olifants CMA'!H96,E_budgeted!H437),'Breede-Olifants CMA'!H96)</f>
        <v>181786.92330376717</v>
      </c>
      <c r="I353" s="32">
        <f>IF(INDEX(E_budgeted!$B$3:$G$13,MATCH($A353,E_budgeted!$A$3:$A$13,0),MATCH($A$298,E_budgeted!$B$2:$G$2,0))&gt;0,MIN('Breede-Olifants CMA'!I96,E_budgeted!I437),'Breede-Olifants CMA'!I96)</f>
        <v>181786.92330376717</v>
      </c>
      <c r="J353" s="32">
        <f>IF(INDEX(E_budgeted!$B$3:$G$13,MATCH($A353,E_budgeted!$A$3:$A$13,0),MATCH($A$298,E_budgeted!$B$2:$G$2,0))&gt;0,MIN('Breede-Olifants CMA'!J96,E_budgeted!J437),'Breede-Olifants CMA'!J96)</f>
        <v>181786.92330376717</v>
      </c>
      <c r="K353" s="32">
        <f>IF(INDEX(E_budgeted!$B$3:$G$13,MATCH($A353,E_budgeted!$A$3:$A$13,0),MATCH($A$298,E_budgeted!$B$2:$G$2,0))&gt;0,MIN('Breede-Olifants CMA'!K96,E_budgeted!K437),'Breede-Olifants CMA'!K96)</f>
        <v>181786.92330376717</v>
      </c>
      <c r="L353" s="5">
        <f t="shared" si="246"/>
        <v>181786.92330376714</v>
      </c>
    </row>
    <row r="354" spans="1:12" x14ac:dyDescent="0.25">
      <c r="A354" s="4" t="s">
        <v>15</v>
      </c>
      <c r="B354" s="13">
        <f>IF(INDEX(E_budgeted!$B$3:$G$13,MATCH($A354,E_budgeted!$A$3:$A$13,0),MATCH($A$298,E_budgeted!$B$2:$G$2,0))&gt;0,MIN('Breede-Olifants CMA'!B97,E_budgeted!B438),'Breede-Olifants CMA'!B97)</f>
        <v>8814269.3833230752</v>
      </c>
      <c r="C354" s="13">
        <f>IF(INDEX(E_budgeted!$B$3:$G$13,MATCH($A354,E_budgeted!$A$3:$A$13,0),MATCH($A$298,E_budgeted!$B$2:$G$2,0))&gt;0,MIN('Breede-Olifants CMA'!C97,E_budgeted!C438),'Breede-Olifants CMA'!C97)</f>
        <v>8814269.3833230752</v>
      </c>
      <c r="D354" s="13">
        <f>IF(INDEX(E_budgeted!$B$3:$G$13,MATCH($A354,E_budgeted!$A$3:$A$13,0),MATCH($A$298,E_budgeted!$B$2:$G$2,0))&gt;0,MIN('Breede-Olifants CMA'!D97,E_budgeted!D438),'Breede-Olifants CMA'!D97)</f>
        <v>8814269.3833230752</v>
      </c>
      <c r="E354" s="13">
        <f>IF(INDEX(E_budgeted!$B$3:$G$13,MATCH($A354,E_budgeted!$A$3:$A$13,0),MATCH($A$298,E_budgeted!$B$2:$G$2,0))&gt;0,MIN('Breede-Olifants CMA'!E97,E_budgeted!E438),'Breede-Olifants CMA'!E97)</f>
        <v>8814269.3833230752</v>
      </c>
      <c r="F354" s="13">
        <f>IF(INDEX(E_budgeted!$B$3:$G$13,MATCH($A354,E_budgeted!$A$3:$A$13,0),MATCH($A$298,E_budgeted!$B$2:$G$2,0))&gt;0,MIN('Breede-Olifants CMA'!F97,E_budgeted!F438),'Breede-Olifants CMA'!F97)</f>
        <v>8814269.3833230752</v>
      </c>
      <c r="G354" s="13">
        <f>IF(INDEX(E_budgeted!$B$3:$G$13,MATCH($A354,E_budgeted!$A$3:$A$13,0),MATCH($A$298,E_budgeted!$B$2:$G$2,0))&gt;0,MIN('Breede-Olifants CMA'!G97,E_budgeted!G438),'Breede-Olifants CMA'!G97)</f>
        <v>8814269.3833230752</v>
      </c>
      <c r="H354" s="13">
        <f>IF(INDEX(E_budgeted!$B$3:$G$13,MATCH($A354,E_budgeted!$A$3:$A$13,0),MATCH($A$298,E_budgeted!$B$2:$G$2,0))&gt;0,MIN('Breede-Olifants CMA'!H97,E_budgeted!H438),'Breede-Olifants CMA'!H97)</f>
        <v>8814269.3833230752</v>
      </c>
      <c r="I354" s="13">
        <f>IF(INDEX(E_budgeted!$B$3:$G$13,MATCH($A354,E_budgeted!$A$3:$A$13,0),MATCH($A$298,E_budgeted!$B$2:$G$2,0))&gt;0,MIN('Breede-Olifants CMA'!I97,E_budgeted!I438),'Breede-Olifants CMA'!I97)</f>
        <v>8814269.3833230752</v>
      </c>
      <c r="J354" s="13">
        <f>IF(INDEX(E_budgeted!$B$3:$G$13,MATCH($A354,E_budgeted!$A$3:$A$13,0),MATCH($A$298,E_budgeted!$B$2:$G$2,0))&gt;0,MIN('Breede-Olifants CMA'!J97,E_budgeted!J438),'Breede-Olifants CMA'!J97)</f>
        <v>8814269.3833230752</v>
      </c>
      <c r="K354" s="13">
        <f>IF(INDEX(E_budgeted!$B$3:$G$13,MATCH($A354,E_budgeted!$A$3:$A$13,0),MATCH($A$298,E_budgeted!$B$2:$G$2,0))&gt;0,MIN('Breede-Olifants CMA'!K97,E_budgeted!K438),'Breede-Olifants CMA'!K97)</f>
        <v>8814269.3833230752</v>
      </c>
      <c r="L354" s="5">
        <f t="shared" si="246"/>
        <v>8814269.3833230752</v>
      </c>
    </row>
    <row r="355" spans="1:12" x14ac:dyDescent="0.25">
      <c r="B355" s="5">
        <f>SUM(B344:B354)</f>
        <v>32472837.786093011</v>
      </c>
      <c r="C355" s="5">
        <f t="shared" ref="C355:K355" si="247">SUM(C344:C354)</f>
        <v>32472837.786093011</v>
      </c>
      <c r="D355" s="5">
        <f t="shared" si="247"/>
        <v>32472837.786093011</v>
      </c>
      <c r="E355" s="5">
        <f t="shared" si="247"/>
        <v>32472837.786093011</v>
      </c>
      <c r="F355" s="5">
        <f t="shared" si="247"/>
        <v>32472837.786093011</v>
      </c>
      <c r="G355" s="5">
        <f t="shared" si="247"/>
        <v>32472837.786093011</v>
      </c>
      <c r="H355" s="5">
        <f t="shared" si="247"/>
        <v>32472837.786093011</v>
      </c>
      <c r="I355" s="5">
        <f t="shared" si="247"/>
        <v>32472837.786093011</v>
      </c>
      <c r="J355" s="5">
        <f t="shared" si="247"/>
        <v>32472837.786093011</v>
      </c>
      <c r="K355" s="5">
        <f t="shared" si="247"/>
        <v>32472837.786093011</v>
      </c>
      <c r="L355" s="5"/>
    </row>
    <row r="356" spans="1:12" x14ac:dyDescent="0.25">
      <c r="B356" s="16">
        <f>B355/$B$312</f>
        <v>0.3084390464156343</v>
      </c>
      <c r="C356" s="5"/>
      <c r="D356" s="5"/>
      <c r="E356" s="5"/>
      <c r="F356" s="5"/>
      <c r="G356" s="5"/>
      <c r="H356" s="5"/>
      <c r="I356" s="5"/>
      <c r="J356" s="5"/>
      <c r="K356" s="5"/>
      <c r="L356" s="5"/>
    </row>
    <row r="357" spans="1:12" s="3" customFormat="1" x14ac:dyDescent="0.25">
      <c r="A357" s="2" t="s">
        <v>95</v>
      </c>
    </row>
    <row r="358" spans="1:12" x14ac:dyDescent="0.25">
      <c r="A358" s="1" t="s">
        <v>60</v>
      </c>
      <c r="B358" s="12" t="str">
        <f>'Summary dashboard'!C4</f>
        <v>2023</v>
      </c>
      <c r="C358" s="12">
        <f t="shared" ref="C358" si="248">B358+1</f>
        <v>2024</v>
      </c>
      <c r="D358" s="12">
        <f t="shared" ref="D358" si="249">C358+1</f>
        <v>2025</v>
      </c>
      <c r="E358" s="12">
        <f t="shared" ref="E358" si="250">D358+1</f>
        <v>2026</v>
      </c>
      <c r="F358" s="12">
        <f t="shared" ref="F358" si="251">E358+1</f>
        <v>2027</v>
      </c>
      <c r="G358" s="12">
        <f t="shared" ref="G358" si="252">F358+1</f>
        <v>2028</v>
      </c>
      <c r="H358" s="12">
        <f t="shared" ref="H358" si="253">G358+1</f>
        <v>2029</v>
      </c>
      <c r="I358" s="12">
        <f t="shared" ref="I358" si="254">H358+1</f>
        <v>2030</v>
      </c>
      <c r="J358" s="12">
        <f t="shared" ref="J358" si="255">I358+1</f>
        <v>2031</v>
      </c>
      <c r="K358" s="12">
        <f t="shared" ref="K358" si="256">J358+1</f>
        <v>2032</v>
      </c>
      <c r="L358" s="1" t="s">
        <v>28</v>
      </c>
    </row>
    <row r="359" spans="1:12" x14ac:dyDescent="0.25">
      <c r="A359" s="4" t="s">
        <v>35</v>
      </c>
      <c r="B359" s="32">
        <f>B6+B65+B124+B183+B242+B301</f>
        <v>45680334.129412323</v>
      </c>
      <c r="C359" s="32">
        <f t="shared" ref="C359:K359" si="257">C6+C65+C124+C183+C242+C301</f>
        <v>45680334.129412323</v>
      </c>
      <c r="D359" s="32">
        <f t="shared" si="257"/>
        <v>45680334.129412323</v>
      </c>
      <c r="E359" s="32">
        <f t="shared" si="257"/>
        <v>45680334.129412323</v>
      </c>
      <c r="F359" s="32">
        <f t="shared" si="257"/>
        <v>45680334.129412323</v>
      </c>
      <c r="G359" s="32">
        <f t="shared" si="257"/>
        <v>45680334.129412323</v>
      </c>
      <c r="H359" s="32">
        <f t="shared" si="257"/>
        <v>45680334.129412323</v>
      </c>
      <c r="I359" s="32">
        <f t="shared" si="257"/>
        <v>45680334.129412323</v>
      </c>
      <c r="J359" s="32">
        <f t="shared" si="257"/>
        <v>45680334.129412323</v>
      </c>
      <c r="K359" s="32">
        <f t="shared" si="257"/>
        <v>45680334.129412323</v>
      </c>
      <c r="L359" s="5">
        <f t="shared" ref="L359:L369" si="258">AVERAGE(B359:K359)</f>
        <v>45680334.129412316</v>
      </c>
    </row>
    <row r="360" spans="1:12" x14ac:dyDescent="0.25">
      <c r="A360" s="4" t="s">
        <v>36</v>
      </c>
      <c r="B360" s="32">
        <f t="shared" ref="B360:K360" si="259">B7+B66+B125+B184+B243+B302</f>
        <v>29831999.629075672</v>
      </c>
      <c r="C360" s="32">
        <f t="shared" si="259"/>
        <v>29831999.629075672</v>
      </c>
      <c r="D360" s="32">
        <f t="shared" si="259"/>
        <v>29831999.629075672</v>
      </c>
      <c r="E360" s="32">
        <f t="shared" si="259"/>
        <v>29831999.629075672</v>
      </c>
      <c r="F360" s="32">
        <f t="shared" si="259"/>
        <v>29831999.629075672</v>
      </c>
      <c r="G360" s="32">
        <f t="shared" si="259"/>
        <v>29831999.629075672</v>
      </c>
      <c r="H360" s="32">
        <f t="shared" si="259"/>
        <v>29831999.629075672</v>
      </c>
      <c r="I360" s="32">
        <f t="shared" si="259"/>
        <v>29831999.629075672</v>
      </c>
      <c r="J360" s="32">
        <f t="shared" si="259"/>
        <v>29831999.629075672</v>
      </c>
      <c r="K360" s="32">
        <f t="shared" si="259"/>
        <v>29831999.629075672</v>
      </c>
      <c r="L360" s="5">
        <f t="shared" si="258"/>
        <v>29831999.629075669</v>
      </c>
    </row>
    <row r="361" spans="1:12" x14ac:dyDescent="0.25">
      <c r="A361" s="4" t="s">
        <v>11</v>
      </c>
      <c r="B361" s="32">
        <f t="shared" ref="B361:K361" si="260">B8+B67+B126+B185+B244+B303</f>
        <v>0</v>
      </c>
      <c r="C361" s="32">
        <f t="shared" si="260"/>
        <v>0</v>
      </c>
      <c r="D361" s="32">
        <f t="shared" si="260"/>
        <v>0</v>
      </c>
      <c r="E361" s="32">
        <f t="shared" si="260"/>
        <v>0</v>
      </c>
      <c r="F361" s="32">
        <f t="shared" si="260"/>
        <v>0</v>
      </c>
      <c r="G361" s="32">
        <f t="shared" si="260"/>
        <v>0</v>
      </c>
      <c r="H361" s="32">
        <f t="shared" si="260"/>
        <v>0</v>
      </c>
      <c r="I361" s="32">
        <f t="shared" si="260"/>
        <v>0</v>
      </c>
      <c r="J361" s="32">
        <f t="shared" si="260"/>
        <v>0</v>
      </c>
      <c r="K361" s="32">
        <f t="shared" si="260"/>
        <v>0</v>
      </c>
      <c r="L361" s="5">
        <f t="shared" si="258"/>
        <v>0</v>
      </c>
    </row>
    <row r="362" spans="1:12" x14ac:dyDescent="0.25">
      <c r="A362" s="4" t="s">
        <v>124</v>
      </c>
      <c r="B362" s="32">
        <f t="shared" ref="B362:K362" si="261">B9+B68+B127+B186+B245+B304</f>
        <v>8873893.2339374144</v>
      </c>
      <c r="C362" s="32">
        <f t="shared" si="261"/>
        <v>8873893.2339374144</v>
      </c>
      <c r="D362" s="32">
        <f t="shared" si="261"/>
        <v>8873893.2339374144</v>
      </c>
      <c r="E362" s="32">
        <f t="shared" si="261"/>
        <v>8873893.2339374144</v>
      </c>
      <c r="F362" s="32">
        <f t="shared" si="261"/>
        <v>8873893.2339374144</v>
      </c>
      <c r="G362" s="32">
        <f t="shared" si="261"/>
        <v>8873893.2339374144</v>
      </c>
      <c r="H362" s="32">
        <f t="shared" si="261"/>
        <v>8873893.2339374144</v>
      </c>
      <c r="I362" s="32">
        <f t="shared" si="261"/>
        <v>8873893.2339374144</v>
      </c>
      <c r="J362" s="32">
        <f t="shared" si="261"/>
        <v>8873893.2339374144</v>
      </c>
      <c r="K362" s="32">
        <f t="shared" si="261"/>
        <v>8873893.2339374144</v>
      </c>
      <c r="L362" s="5">
        <f t="shared" si="258"/>
        <v>8873893.2339374144</v>
      </c>
    </row>
    <row r="363" spans="1:12" x14ac:dyDescent="0.25">
      <c r="A363" s="4" t="s">
        <v>12</v>
      </c>
      <c r="B363" s="32">
        <f t="shared" ref="B363:K363" si="262">B10+B69+B128+B187+B246+B305</f>
        <v>163061594.5921495</v>
      </c>
      <c r="C363" s="32">
        <f t="shared" si="262"/>
        <v>163061594.5921495</v>
      </c>
      <c r="D363" s="32">
        <f t="shared" si="262"/>
        <v>163061594.5921495</v>
      </c>
      <c r="E363" s="32">
        <f t="shared" si="262"/>
        <v>163061594.5921495</v>
      </c>
      <c r="F363" s="32">
        <f t="shared" si="262"/>
        <v>163061594.5921495</v>
      </c>
      <c r="G363" s="32">
        <f t="shared" si="262"/>
        <v>163061594.5921495</v>
      </c>
      <c r="H363" s="32">
        <f t="shared" si="262"/>
        <v>163061594.5921495</v>
      </c>
      <c r="I363" s="32">
        <f t="shared" si="262"/>
        <v>163061594.5921495</v>
      </c>
      <c r="J363" s="32">
        <f t="shared" si="262"/>
        <v>163061594.5921495</v>
      </c>
      <c r="K363" s="32">
        <f t="shared" si="262"/>
        <v>163061594.5921495</v>
      </c>
      <c r="L363" s="5">
        <f t="shared" si="258"/>
        <v>163061594.5921495</v>
      </c>
    </row>
    <row r="364" spans="1:12" x14ac:dyDescent="0.25">
      <c r="A364" s="4" t="s">
        <v>13</v>
      </c>
      <c r="B364" s="32">
        <f t="shared" ref="B364:K364" si="263">B11+B70+B129+B188+B247+B306</f>
        <v>5078382.9124949528</v>
      </c>
      <c r="C364" s="32">
        <f t="shared" si="263"/>
        <v>5078382.9124949528</v>
      </c>
      <c r="D364" s="32">
        <f t="shared" si="263"/>
        <v>5078382.9124949528</v>
      </c>
      <c r="E364" s="32">
        <f t="shared" si="263"/>
        <v>5078382.9124949528</v>
      </c>
      <c r="F364" s="32">
        <f t="shared" si="263"/>
        <v>5078382.9124949528</v>
      </c>
      <c r="G364" s="32">
        <f t="shared" si="263"/>
        <v>5078382.9124949528</v>
      </c>
      <c r="H364" s="32">
        <f t="shared" si="263"/>
        <v>5078382.9124949528</v>
      </c>
      <c r="I364" s="32">
        <f t="shared" si="263"/>
        <v>5078382.9124949528</v>
      </c>
      <c r="J364" s="32">
        <f t="shared" si="263"/>
        <v>5078382.9124949528</v>
      </c>
      <c r="K364" s="32">
        <f t="shared" si="263"/>
        <v>5078382.9124949528</v>
      </c>
      <c r="L364" s="5">
        <f t="shared" si="258"/>
        <v>5078382.9124949519</v>
      </c>
    </row>
    <row r="365" spans="1:12" x14ac:dyDescent="0.25">
      <c r="A365" s="4" t="s">
        <v>14</v>
      </c>
      <c r="B365" s="32">
        <f t="shared" ref="B365:K365" si="264">B12+B71+B130+B189+B248+B307</f>
        <v>0</v>
      </c>
      <c r="C365" s="32">
        <f t="shared" si="264"/>
        <v>0</v>
      </c>
      <c r="D365" s="32">
        <f t="shared" si="264"/>
        <v>0</v>
      </c>
      <c r="E365" s="32">
        <f t="shared" si="264"/>
        <v>0</v>
      </c>
      <c r="F365" s="32">
        <f t="shared" si="264"/>
        <v>0</v>
      </c>
      <c r="G365" s="32">
        <f t="shared" si="264"/>
        <v>0</v>
      </c>
      <c r="H365" s="32">
        <f t="shared" si="264"/>
        <v>0</v>
      </c>
      <c r="I365" s="32">
        <f t="shared" si="264"/>
        <v>0</v>
      </c>
      <c r="J365" s="32">
        <f t="shared" si="264"/>
        <v>0</v>
      </c>
      <c r="K365" s="32">
        <f t="shared" si="264"/>
        <v>0</v>
      </c>
      <c r="L365" s="5">
        <f t="shared" si="258"/>
        <v>0</v>
      </c>
    </row>
    <row r="366" spans="1:12" x14ac:dyDescent="0.25">
      <c r="A366" s="4" t="s">
        <v>125</v>
      </c>
      <c r="B366" s="32">
        <f t="shared" ref="B366:K366" si="265">B13+B72+B131+B190+B249+B308</f>
        <v>7222983.6698268028</v>
      </c>
      <c r="C366" s="32">
        <f t="shared" si="265"/>
        <v>7222983.6698268028</v>
      </c>
      <c r="D366" s="32">
        <f t="shared" si="265"/>
        <v>7222983.6698268028</v>
      </c>
      <c r="E366" s="32">
        <f t="shared" si="265"/>
        <v>7222983.6698268028</v>
      </c>
      <c r="F366" s="32">
        <f t="shared" si="265"/>
        <v>7222983.6698268028</v>
      </c>
      <c r="G366" s="32">
        <f t="shared" si="265"/>
        <v>7222983.6698268028</v>
      </c>
      <c r="H366" s="32">
        <f t="shared" si="265"/>
        <v>7222983.6698268028</v>
      </c>
      <c r="I366" s="32">
        <f t="shared" si="265"/>
        <v>7222983.6698268028</v>
      </c>
      <c r="J366" s="32">
        <f t="shared" si="265"/>
        <v>7222983.6698268028</v>
      </c>
      <c r="K366" s="32">
        <f t="shared" si="265"/>
        <v>7222983.6698268028</v>
      </c>
      <c r="L366" s="5">
        <f t="shared" si="258"/>
        <v>7222983.6698268037</v>
      </c>
    </row>
    <row r="367" spans="1:12" x14ac:dyDescent="0.25">
      <c r="A367" s="4" t="s">
        <v>37</v>
      </c>
      <c r="B367" s="32">
        <f t="shared" ref="B367:K367" si="266">B14+B73+B132+B191+B250+B309</f>
        <v>162504415.24669245</v>
      </c>
      <c r="C367" s="32">
        <f t="shared" si="266"/>
        <v>162504415.24669245</v>
      </c>
      <c r="D367" s="32">
        <f t="shared" si="266"/>
        <v>162504415.24669245</v>
      </c>
      <c r="E367" s="32">
        <f t="shared" si="266"/>
        <v>162504415.24669245</v>
      </c>
      <c r="F367" s="32">
        <f t="shared" si="266"/>
        <v>162504415.24669245</v>
      </c>
      <c r="G367" s="32">
        <f t="shared" si="266"/>
        <v>162504415.24669245</v>
      </c>
      <c r="H367" s="32">
        <f t="shared" si="266"/>
        <v>162504415.24669245</v>
      </c>
      <c r="I367" s="32">
        <f t="shared" si="266"/>
        <v>162504415.24669245</v>
      </c>
      <c r="J367" s="32">
        <f t="shared" si="266"/>
        <v>162504415.24669245</v>
      </c>
      <c r="K367" s="32">
        <f t="shared" si="266"/>
        <v>162504415.24669245</v>
      </c>
      <c r="L367" s="5">
        <f t="shared" si="258"/>
        <v>162504415.24669245</v>
      </c>
    </row>
    <row r="368" spans="1:12" x14ac:dyDescent="0.25">
      <c r="A368" s="4" t="s">
        <v>38</v>
      </c>
      <c r="B368" s="32">
        <f t="shared" ref="B368:K368" si="267">B15+B74+B133+B192+B251+B310</f>
        <v>23673222.066753615</v>
      </c>
      <c r="C368" s="32">
        <f t="shared" si="267"/>
        <v>23673222.066753615</v>
      </c>
      <c r="D368" s="32">
        <f t="shared" si="267"/>
        <v>23673222.066753615</v>
      </c>
      <c r="E368" s="32">
        <f t="shared" si="267"/>
        <v>23673222.066753615</v>
      </c>
      <c r="F368" s="32">
        <f t="shared" si="267"/>
        <v>23673222.066753615</v>
      </c>
      <c r="G368" s="32">
        <f t="shared" si="267"/>
        <v>23673222.066753615</v>
      </c>
      <c r="H368" s="32">
        <f t="shared" si="267"/>
        <v>23673222.066753615</v>
      </c>
      <c r="I368" s="32">
        <f t="shared" si="267"/>
        <v>23673222.066753615</v>
      </c>
      <c r="J368" s="32">
        <f t="shared" si="267"/>
        <v>23673222.066753615</v>
      </c>
      <c r="K368" s="32">
        <f t="shared" si="267"/>
        <v>23673222.066753615</v>
      </c>
      <c r="L368" s="5">
        <f t="shared" si="258"/>
        <v>23673222.066753618</v>
      </c>
    </row>
    <row r="369" spans="1:12" x14ac:dyDescent="0.25">
      <c r="A369" s="4" t="s">
        <v>15</v>
      </c>
      <c r="B369" s="13">
        <f t="shared" ref="B369:K369" si="268">B16+B75+B134+B193+B252+B311</f>
        <v>190297534.39286107</v>
      </c>
      <c r="C369" s="13">
        <f t="shared" si="268"/>
        <v>190297534.39286107</v>
      </c>
      <c r="D369" s="13">
        <f t="shared" si="268"/>
        <v>190297534.39286107</v>
      </c>
      <c r="E369" s="13">
        <f t="shared" si="268"/>
        <v>190297534.39286107</v>
      </c>
      <c r="F369" s="13">
        <f t="shared" si="268"/>
        <v>190297534.39286107</v>
      </c>
      <c r="G369" s="13">
        <f t="shared" si="268"/>
        <v>190297534.39286107</v>
      </c>
      <c r="H369" s="13">
        <f t="shared" si="268"/>
        <v>190297534.39286107</v>
      </c>
      <c r="I369" s="13">
        <f t="shared" si="268"/>
        <v>190297534.39286107</v>
      </c>
      <c r="J369" s="13">
        <f t="shared" si="268"/>
        <v>190297534.39286107</v>
      </c>
      <c r="K369" s="13">
        <f t="shared" si="268"/>
        <v>190297534.39286107</v>
      </c>
      <c r="L369" s="5">
        <f t="shared" si="258"/>
        <v>190297534.3928611</v>
      </c>
    </row>
    <row r="370" spans="1:12" x14ac:dyDescent="0.25">
      <c r="B370" s="5">
        <f t="shared" ref="B370:K370" si="269">SUM(B359:B369)</f>
        <v>636224359.87320375</v>
      </c>
      <c r="C370" s="5">
        <f t="shared" si="269"/>
        <v>636224359.87320375</v>
      </c>
      <c r="D370" s="5">
        <f t="shared" si="269"/>
        <v>636224359.87320375</v>
      </c>
      <c r="E370" s="5">
        <f t="shared" si="269"/>
        <v>636224359.87320375</v>
      </c>
      <c r="F370" s="5">
        <f t="shared" si="269"/>
        <v>636224359.87320375</v>
      </c>
      <c r="G370" s="5">
        <f t="shared" si="269"/>
        <v>636224359.87320375</v>
      </c>
      <c r="H370" s="5">
        <f t="shared" si="269"/>
        <v>636224359.87320375</v>
      </c>
      <c r="I370" s="5">
        <f t="shared" si="269"/>
        <v>636224359.87320375</v>
      </c>
      <c r="J370" s="5">
        <f t="shared" si="269"/>
        <v>636224359.87320375</v>
      </c>
      <c r="K370" s="5">
        <f t="shared" si="269"/>
        <v>636224359.87320375</v>
      </c>
      <c r="L370" s="5"/>
    </row>
    <row r="371" spans="1:12" x14ac:dyDescent="0.25">
      <c r="B371" s="13"/>
    </row>
    <row r="372" spans="1:12" ht="30" x14ac:dyDescent="0.25">
      <c r="A372" s="15" t="s">
        <v>56</v>
      </c>
      <c r="B372" s="12" t="str">
        <f>'Summary dashboard'!C4</f>
        <v>2023</v>
      </c>
      <c r="C372" s="12">
        <f t="shared" ref="C372" si="270">B372+1</f>
        <v>2024</v>
      </c>
      <c r="D372" s="12">
        <f t="shared" ref="D372" si="271">C372+1</f>
        <v>2025</v>
      </c>
      <c r="E372" s="12">
        <f t="shared" ref="E372" si="272">D372+1</f>
        <v>2026</v>
      </c>
      <c r="F372" s="12">
        <f t="shared" ref="F372" si="273">E372+1</f>
        <v>2027</v>
      </c>
      <c r="G372" s="12">
        <f t="shared" ref="G372" si="274">F372+1</f>
        <v>2028</v>
      </c>
      <c r="H372" s="12">
        <f t="shared" ref="H372" si="275">G372+1</f>
        <v>2029</v>
      </c>
      <c r="I372" s="12">
        <f t="shared" ref="I372" si="276">H372+1</f>
        <v>2030</v>
      </c>
      <c r="J372" s="12">
        <f t="shared" ref="J372" si="277">I372+1</f>
        <v>2031</v>
      </c>
      <c r="K372" s="12">
        <f t="shared" ref="K372" si="278">J372+1</f>
        <v>2032</v>
      </c>
      <c r="L372" s="1" t="s">
        <v>28</v>
      </c>
    </row>
    <row r="373" spans="1:12" x14ac:dyDescent="0.25">
      <c r="A373" s="4" t="s">
        <v>35</v>
      </c>
      <c r="B373" s="32">
        <f>B20+B79+B138+B197+B256+B315</f>
        <v>35173857.279647492</v>
      </c>
      <c r="C373" s="32">
        <f t="shared" ref="C373:K373" si="279">C20+C79+C138+C197+C256+C315</f>
        <v>35173857.279647492</v>
      </c>
      <c r="D373" s="32">
        <f t="shared" si="279"/>
        <v>35173857.279647492</v>
      </c>
      <c r="E373" s="32">
        <f t="shared" si="279"/>
        <v>35173857.279647492</v>
      </c>
      <c r="F373" s="32">
        <f t="shared" si="279"/>
        <v>35173857.279647492</v>
      </c>
      <c r="G373" s="32">
        <f t="shared" si="279"/>
        <v>35173857.279647492</v>
      </c>
      <c r="H373" s="32">
        <f t="shared" si="279"/>
        <v>35173857.279647492</v>
      </c>
      <c r="I373" s="32">
        <f t="shared" si="279"/>
        <v>35173857.279647492</v>
      </c>
      <c r="J373" s="32">
        <f t="shared" si="279"/>
        <v>35173857.279647492</v>
      </c>
      <c r="K373" s="32">
        <f t="shared" si="279"/>
        <v>35173857.279647492</v>
      </c>
      <c r="L373" s="5">
        <f t="shared" ref="L373:L383" si="280">AVERAGE(B373:K373)</f>
        <v>35173857.279647484</v>
      </c>
    </row>
    <row r="374" spans="1:12" x14ac:dyDescent="0.25">
      <c r="A374" s="4" t="s">
        <v>36</v>
      </c>
      <c r="B374" s="32">
        <f t="shared" ref="B374:K374" si="281">B21+B80+B139+B198+B257+B316</f>
        <v>8949599.8887227029</v>
      </c>
      <c r="C374" s="32">
        <f t="shared" si="281"/>
        <v>8949599.8887227029</v>
      </c>
      <c r="D374" s="32">
        <f t="shared" si="281"/>
        <v>8949599.8887227029</v>
      </c>
      <c r="E374" s="32">
        <f t="shared" si="281"/>
        <v>8949599.8887227029</v>
      </c>
      <c r="F374" s="32">
        <f t="shared" si="281"/>
        <v>8949599.8887227029</v>
      </c>
      <c r="G374" s="32">
        <f t="shared" si="281"/>
        <v>8949599.8887227029</v>
      </c>
      <c r="H374" s="32">
        <f t="shared" si="281"/>
        <v>8949599.8887227029</v>
      </c>
      <c r="I374" s="32">
        <f t="shared" si="281"/>
        <v>8949599.8887227029</v>
      </c>
      <c r="J374" s="32">
        <f t="shared" si="281"/>
        <v>8949599.8887227029</v>
      </c>
      <c r="K374" s="32">
        <f t="shared" si="281"/>
        <v>8949599.8887227029</v>
      </c>
      <c r="L374" s="5">
        <f t="shared" si="280"/>
        <v>8949599.8887227029</v>
      </c>
    </row>
    <row r="375" spans="1:12" x14ac:dyDescent="0.25">
      <c r="A375" s="4" t="s">
        <v>11</v>
      </c>
      <c r="B375" s="32">
        <f t="shared" ref="B375:K375" si="282">B22+B81+B140+B199+B258+B317</f>
        <v>0</v>
      </c>
      <c r="C375" s="32">
        <f t="shared" si="282"/>
        <v>0</v>
      </c>
      <c r="D375" s="32">
        <f t="shared" si="282"/>
        <v>0</v>
      </c>
      <c r="E375" s="32">
        <f t="shared" si="282"/>
        <v>0</v>
      </c>
      <c r="F375" s="32">
        <f t="shared" si="282"/>
        <v>0</v>
      </c>
      <c r="G375" s="32">
        <f t="shared" si="282"/>
        <v>0</v>
      </c>
      <c r="H375" s="32">
        <f t="shared" si="282"/>
        <v>0</v>
      </c>
      <c r="I375" s="32">
        <f t="shared" si="282"/>
        <v>0</v>
      </c>
      <c r="J375" s="32">
        <f t="shared" si="282"/>
        <v>0</v>
      </c>
      <c r="K375" s="32">
        <f t="shared" si="282"/>
        <v>0</v>
      </c>
      <c r="L375" s="5">
        <f t="shared" si="280"/>
        <v>0</v>
      </c>
    </row>
    <row r="376" spans="1:12" x14ac:dyDescent="0.25">
      <c r="A376" s="4" t="s">
        <v>124</v>
      </c>
      <c r="B376" s="32">
        <f t="shared" ref="B376:K376" si="283">B23+B82+B141+B200+B259+B318</f>
        <v>7099114.5871499302</v>
      </c>
      <c r="C376" s="32">
        <f t="shared" si="283"/>
        <v>7099114.5871499302</v>
      </c>
      <c r="D376" s="32">
        <f t="shared" si="283"/>
        <v>7099114.5871499302</v>
      </c>
      <c r="E376" s="32">
        <f t="shared" si="283"/>
        <v>7099114.5871499302</v>
      </c>
      <c r="F376" s="32">
        <f t="shared" si="283"/>
        <v>7099114.5871499302</v>
      </c>
      <c r="G376" s="32">
        <f t="shared" si="283"/>
        <v>7099114.5871499302</v>
      </c>
      <c r="H376" s="32">
        <f t="shared" si="283"/>
        <v>7099114.5871499302</v>
      </c>
      <c r="I376" s="32">
        <f t="shared" si="283"/>
        <v>7099114.5871499302</v>
      </c>
      <c r="J376" s="32">
        <f t="shared" si="283"/>
        <v>7099114.5871499302</v>
      </c>
      <c r="K376" s="32">
        <f t="shared" si="283"/>
        <v>7099114.5871499302</v>
      </c>
      <c r="L376" s="5">
        <f t="shared" si="280"/>
        <v>7099114.5871499311</v>
      </c>
    </row>
    <row r="377" spans="1:12" x14ac:dyDescent="0.25">
      <c r="A377" s="4" t="s">
        <v>12</v>
      </c>
      <c r="B377" s="32">
        <f t="shared" ref="B377:K377" si="284">B24+B83+B142+B201+B260+B319</f>
        <v>16306159.45921495</v>
      </c>
      <c r="C377" s="32">
        <f t="shared" si="284"/>
        <v>16306159.45921495</v>
      </c>
      <c r="D377" s="32">
        <f t="shared" si="284"/>
        <v>16306159.45921495</v>
      </c>
      <c r="E377" s="32">
        <f t="shared" si="284"/>
        <v>16306159.45921495</v>
      </c>
      <c r="F377" s="32">
        <f t="shared" si="284"/>
        <v>16306159.45921495</v>
      </c>
      <c r="G377" s="32">
        <f t="shared" si="284"/>
        <v>16306159.45921495</v>
      </c>
      <c r="H377" s="32">
        <f t="shared" si="284"/>
        <v>16306159.45921495</v>
      </c>
      <c r="I377" s="32">
        <f t="shared" si="284"/>
        <v>16306159.45921495</v>
      </c>
      <c r="J377" s="32">
        <f t="shared" si="284"/>
        <v>16306159.45921495</v>
      </c>
      <c r="K377" s="32">
        <f t="shared" si="284"/>
        <v>16306159.45921495</v>
      </c>
      <c r="L377" s="5">
        <f t="shared" si="280"/>
        <v>16306159.459214952</v>
      </c>
    </row>
    <row r="378" spans="1:12" x14ac:dyDescent="0.25">
      <c r="A378" s="4" t="s">
        <v>13</v>
      </c>
      <c r="B378" s="32">
        <f t="shared" ref="B378:K378" si="285">B25+B84+B143+B202+B261+B320</f>
        <v>2031353.1649979812</v>
      </c>
      <c r="C378" s="32">
        <f t="shared" si="285"/>
        <v>2031353.1649979812</v>
      </c>
      <c r="D378" s="32">
        <f t="shared" si="285"/>
        <v>2031353.1649979812</v>
      </c>
      <c r="E378" s="32">
        <f t="shared" si="285"/>
        <v>2031353.1649979812</v>
      </c>
      <c r="F378" s="32">
        <f t="shared" si="285"/>
        <v>2031353.1649979812</v>
      </c>
      <c r="G378" s="32">
        <f t="shared" si="285"/>
        <v>2031353.1649979812</v>
      </c>
      <c r="H378" s="32">
        <f t="shared" si="285"/>
        <v>2031353.1649979812</v>
      </c>
      <c r="I378" s="32">
        <f t="shared" si="285"/>
        <v>2031353.1649979812</v>
      </c>
      <c r="J378" s="32">
        <f t="shared" si="285"/>
        <v>2031353.1649979812</v>
      </c>
      <c r="K378" s="32">
        <f t="shared" si="285"/>
        <v>2031353.1649979812</v>
      </c>
      <c r="L378" s="5">
        <f t="shared" si="280"/>
        <v>2031353.1649979812</v>
      </c>
    </row>
    <row r="379" spans="1:12" x14ac:dyDescent="0.25">
      <c r="A379" s="4" t="s">
        <v>14</v>
      </c>
      <c r="B379" s="32">
        <f t="shared" ref="B379:K379" si="286">B26+B85+B144+B203+B262+B321</f>
        <v>0</v>
      </c>
      <c r="C379" s="32">
        <f t="shared" si="286"/>
        <v>0</v>
      </c>
      <c r="D379" s="32">
        <f t="shared" si="286"/>
        <v>0</v>
      </c>
      <c r="E379" s="32">
        <f t="shared" si="286"/>
        <v>0</v>
      </c>
      <c r="F379" s="32">
        <f t="shared" si="286"/>
        <v>0</v>
      </c>
      <c r="G379" s="32">
        <f t="shared" si="286"/>
        <v>0</v>
      </c>
      <c r="H379" s="32">
        <f t="shared" si="286"/>
        <v>0</v>
      </c>
      <c r="I379" s="32">
        <f t="shared" si="286"/>
        <v>0</v>
      </c>
      <c r="J379" s="32">
        <f t="shared" si="286"/>
        <v>0</v>
      </c>
      <c r="K379" s="32">
        <f t="shared" si="286"/>
        <v>0</v>
      </c>
      <c r="L379" s="5">
        <f t="shared" si="280"/>
        <v>0</v>
      </c>
    </row>
    <row r="380" spans="1:12" x14ac:dyDescent="0.25">
      <c r="A380" s="4" t="s">
        <v>125</v>
      </c>
      <c r="B380" s="32">
        <f t="shared" ref="B380:K380" si="287">B27+B86+B145+B204+B263+B322</f>
        <v>5778386.9358614422</v>
      </c>
      <c r="C380" s="32">
        <f t="shared" si="287"/>
        <v>5778386.9358614422</v>
      </c>
      <c r="D380" s="32">
        <f t="shared" si="287"/>
        <v>5778386.9358614422</v>
      </c>
      <c r="E380" s="32">
        <f t="shared" si="287"/>
        <v>5778386.9358614422</v>
      </c>
      <c r="F380" s="32">
        <f t="shared" si="287"/>
        <v>5778386.9358614422</v>
      </c>
      <c r="G380" s="32">
        <f t="shared" si="287"/>
        <v>5778386.9358614422</v>
      </c>
      <c r="H380" s="32">
        <f t="shared" si="287"/>
        <v>5778386.9358614422</v>
      </c>
      <c r="I380" s="32">
        <f t="shared" si="287"/>
        <v>5778386.9358614422</v>
      </c>
      <c r="J380" s="32">
        <f t="shared" si="287"/>
        <v>5778386.9358614422</v>
      </c>
      <c r="K380" s="32">
        <f t="shared" si="287"/>
        <v>5778386.9358614422</v>
      </c>
      <c r="L380" s="5">
        <f t="shared" si="280"/>
        <v>5778386.9358614413</v>
      </c>
    </row>
    <row r="381" spans="1:12" x14ac:dyDescent="0.25">
      <c r="A381" s="4" t="s">
        <v>37</v>
      </c>
      <c r="B381" s="32">
        <f t="shared" ref="B381:K381" si="288">B28+B87+B146+B205+B264+B323</f>
        <v>102377781.60541625</v>
      </c>
      <c r="C381" s="32">
        <f t="shared" si="288"/>
        <v>102377781.60541625</v>
      </c>
      <c r="D381" s="32">
        <f t="shared" si="288"/>
        <v>102377781.60541625</v>
      </c>
      <c r="E381" s="32">
        <f t="shared" si="288"/>
        <v>102377781.60541625</v>
      </c>
      <c r="F381" s="32">
        <f t="shared" si="288"/>
        <v>102377781.60541625</v>
      </c>
      <c r="G381" s="32">
        <f t="shared" si="288"/>
        <v>102377781.60541625</v>
      </c>
      <c r="H381" s="32">
        <f t="shared" si="288"/>
        <v>102377781.60541625</v>
      </c>
      <c r="I381" s="32">
        <f t="shared" si="288"/>
        <v>102377781.60541625</v>
      </c>
      <c r="J381" s="32">
        <f t="shared" si="288"/>
        <v>102377781.60541625</v>
      </c>
      <c r="K381" s="32">
        <f t="shared" si="288"/>
        <v>102377781.60541625</v>
      </c>
      <c r="L381" s="5">
        <f t="shared" si="280"/>
        <v>102377781.60541627</v>
      </c>
    </row>
    <row r="382" spans="1:12" x14ac:dyDescent="0.25">
      <c r="A382" s="4" t="s">
        <v>38</v>
      </c>
      <c r="B382" s="32">
        <f t="shared" ref="B382:K382" si="289">B29+B88+B147+B206+B265+B324</f>
        <v>2367322.2066753618</v>
      </c>
      <c r="C382" s="32">
        <f t="shared" si="289"/>
        <v>2367322.2066753618</v>
      </c>
      <c r="D382" s="32">
        <f t="shared" si="289"/>
        <v>2367322.2066753618</v>
      </c>
      <c r="E382" s="32">
        <f t="shared" si="289"/>
        <v>2367322.2066753618</v>
      </c>
      <c r="F382" s="32">
        <f t="shared" si="289"/>
        <v>2367322.2066753618</v>
      </c>
      <c r="G382" s="32">
        <f t="shared" si="289"/>
        <v>2367322.2066753618</v>
      </c>
      <c r="H382" s="32">
        <f t="shared" si="289"/>
        <v>2367322.2066753618</v>
      </c>
      <c r="I382" s="32">
        <f t="shared" si="289"/>
        <v>2367322.2066753618</v>
      </c>
      <c r="J382" s="32">
        <f t="shared" si="289"/>
        <v>2367322.2066753618</v>
      </c>
      <c r="K382" s="32">
        <f t="shared" si="289"/>
        <v>2367322.2066753618</v>
      </c>
      <c r="L382" s="5">
        <f t="shared" si="280"/>
        <v>2367322.2066753618</v>
      </c>
    </row>
    <row r="383" spans="1:12" x14ac:dyDescent="0.25">
      <c r="A383" s="4" t="s">
        <v>15</v>
      </c>
      <c r="B383" s="13">
        <f t="shared" ref="B383:K383" si="290">B30+B89+B148+B207+B266+B325</f>
        <v>76119013.757144436</v>
      </c>
      <c r="C383" s="13">
        <f t="shared" si="290"/>
        <v>76119013.757144436</v>
      </c>
      <c r="D383" s="13">
        <f t="shared" si="290"/>
        <v>76119013.757144436</v>
      </c>
      <c r="E383" s="13">
        <f t="shared" si="290"/>
        <v>76119013.757144436</v>
      </c>
      <c r="F383" s="13">
        <f t="shared" si="290"/>
        <v>76119013.757144436</v>
      </c>
      <c r="G383" s="13">
        <f t="shared" si="290"/>
        <v>76119013.757144436</v>
      </c>
      <c r="H383" s="13">
        <f t="shared" si="290"/>
        <v>76119013.757144436</v>
      </c>
      <c r="I383" s="13">
        <f t="shared" si="290"/>
        <v>76119013.757144436</v>
      </c>
      <c r="J383" s="13">
        <f t="shared" si="290"/>
        <v>76119013.757144436</v>
      </c>
      <c r="K383" s="13">
        <f t="shared" si="290"/>
        <v>76119013.757144436</v>
      </c>
      <c r="L383" s="5">
        <f t="shared" si="280"/>
        <v>76119013.757144436</v>
      </c>
    </row>
    <row r="384" spans="1:12" x14ac:dyDescent="0.25">
      <c r="B384" s="5">
        <f t="shared" ref="B384:K384" si="291">SUM(B373:B383)</f>
        <v>256202588.88483053</v>
      </c>
      <c r="C384" s="5">
        <f t="shared" si="291"/>
        <v>256202588.88483053</v>
      </c>
      <c r="D384" s="5">
        <f t="shared" si="291"/>
        <v>256202588.88483053</v>
      </c>
      <c r="E384" s="5">
        <f t="shared" si="291"/>
        <v>256202588.88483053</v>
      </c>
      <c r="F384" s="5">
        <f t="shared" si="291"/>
        <v>256202588.88483053</v>
      </c>
      <c r="G384" s="5">
        <f t="shared" si="291"/>
        <v>256202588.88483053</v>
      </c>
      <c r="H384" s="5">
        <f t="shared" si="291"/>
        <v>256202588.88483053</v>
      </c>
      <c r="I384" s="5">
        <f t="shared" si="291"/>
        <v>256202588.88483053</v>
      </c>
      <c r="J384" s="5">
        <f t="shared" si="291"/>
        <v>256202588.88483053</v>
      </c>
      <c r="K384" s="5">
        <f t="shared" si="291"/>
        <v>256202588.88483053</v>
      </c>
      <c r="L384" s="5"/>
    </row>
    <row r="385" spans="1:12" x14ac:dyDescent="0.25">
      <c r="B385" s="5"/>
      <c r="C385" s="5"/>
      <c r="D385" s="5"/>
      <c r="E385" s="5"/>
      <c r="F385" s="5"/>
      <c r="G385" s="5"/>
      <c r="H385" s="5"/>
      <c r="I385" s="5"/>
      <c r="J385" s="5"/>
      <c r="K385" s="5"/>
      <c r="L385" s="5"/>
    </row>
    <row r="387" spans="1:12" ht="30" x14ac:dyDescent="0.25">
      <c r="A387" s="15" t="s">
        <v>57</v>
      </c>
      <c r="B387" s="12" t="str">
        <f>'Summary dashboard'!C4</f>
        <v>2023</v>
      </c>
      <c r="C387" s="12">
        <f t="shared" ref="C387" si="292">B387+1</f>
        <v>2024</v>
      </c>
      <c r="D387" s="12">
        <f t="shared" ref="D387" si="293">C387+1</f>
        <v>2025</v>
      </c>
      <c r="E387" s="12">
        <f t="shared" ref="E387" si="294">D387+1</f>
        <v>2026</v>
      </c>
      <c r="F387" s="12">
        <f t="shared" ref="F387" si="295">E387+1</f>
        <v>2027</v>
      </c>
      <c r="G387" s="12">
        <f t="shared" ref="G387" si="296">F387+1</f>
        <v>2028</v>
      </c>
      <c r="H387" s="12">
        <f t="shared" ref="H387" si="297">G387+1</f>
        <v>2029</v>
      </c>
      <c r="I387" s="12">
        <f t="shared" ref="I387" si="298">H387+1</f>
        <v>2030</v>
      </c>
      <c r="J387" s="12">
        <f t="shared" ref="J387" si="299">I387+1</f>
        <v>2031</v>
      </c>
      <c r="K387" s="12">
        <f t="shared" ref="K387" si="300">J387+1</f>
        <v>2032</v>
      </c>
      <c r="L387" s="1" t="s">
        <v>28</v>
      </c>
    </row>
    <row r="388" spans="1:12" x14ac:dyDescent="0.25">
      <c r="A388" s="4" t="s">
        <v>35</v>
      </c>
      <c r="B388" s="32">
        <f>B35+B94+B153+B212+B271+B330</f>
        <v>26037790.453765027</v>
      </c>
      <c r="C388" s="32">
        <f t="shared" ref="C388:K388" si="301">C35+C94+C153+C212+C271+C330</f>
        <v>26037790.453765027</v>
      </c>
      <c r="D388" s="32">
        <f t="shared" si="301"/>
        <v>26037790.453765027</v>
      </c>
      <c r="E388" s="32">
        <f t="shared" si="301"/>
        <v>26037790.453765027</v>
      </c>
      <c r="F388" s="32">
        <f t="shared" si="301"/>
        <v>26037790.453765027</v>
      </c>
      <c r="G388" s="32">
        <f t="shared" si="301"/>
        <v>26037790.453765027</v>
      </c>
      <c r="H388" s="32">
        <f t="shared" si="301"/>
        <v>26037790.453765027</v>
      </c>
      <c r="I388" s="32">
        <f t="shared" si="301"/>
        <v>26037790.453765027</v>
      </c>
      <c r="J388" s="32">
        <f t="shared" si="301"/>
        <v>26037790.453765027</v>
      </c>
      <c r="K388" s="32">
        <f t="shared" si="301"/>
        <v>26037790.453765027</v>
      </c>
      <c r="L388" s="5">
        <f>AVERAGE(B388:K388)</f>
        <v>26037790.453765031</v>
      </c>
    </row>
    <row r="389" spans="1:12" x14ac:dyDescent="0.25">
      <c r="A389" s="4" t="s">
        <v>36</v>
      </c>
      <c r="B389" s="32">
        <f t="shared" ref="B389:K389" si="302">B36+B95+B154+B213+B272+B331</f>
        <v>2983199.9629075676</v>
      </c>
      <c r="C389" s="32">
        <f t="shared" si="302"/>
        <v>2983199.9629075676</v>
      </c>
      <c r="D389" s="32">
        <f t="shared" si="302"/>
        <v>2983199.9629075676</v>
      </c>
      <c r="E389" s="32">
        <f t="shared" si="302"/>
        <v>2983199.9629075676</v>
      </c>
      <c r="F389" s="32">
        <f t="shared" si="302"/>
        <v>2983199.9629075676</v>
      </c>
      <c r="G389" s="32">
        <f t="shared" si="302"/>
        <v>2983199.9629075676</v>
      </c>
      <c r="H389" s="32">
        <f t="shared" si="302"/>
        <v>2983199.9629075676</v>
      </c>
      <c r="I389" s="32">
        <f t="shared" si="302"/>
        <v>2983199.9629075676</v>
      </c>
      <c r="J389" s="32">
        <f t="shared" si="302"/>
        <v>2983199.9629075676</v>
      </c>
      <c r="K389" s="32">
        <f t="shared" si="302"/>
        <v>2983199.9629075676</v>
      </c>
      <c r="L389" s="5">
        <f t="shared" ref="L389:L398" si="303">AVERAGE(B389:K389)</f>
        <v>2983199.9629075676</v>
      </c>
    </row>
    <row r="390" spans="1:12" x14ac:dyDescent="0.25">
      <c r="A390" s="4" t="s">
        <v>11</v>
      </c>
      <c r="B390" s="32">
        <f t="shared" ref="B390:K390" si="304">B37+B96+B155+B214+B273+B332</f>
        <v>0</v>
      </c>
      <c r="C390" s="32">
        <f t="shared" si="304"/>
        <v>0</v>
      </c>
      <c r="D390" s="32">
        <f t="shared" si="304"/>
        <v>0</v>
      </c>
      <c r="E390" s="32">
        <f t="shared" si="304"/>
        <v>0</v>
      </c>
      <c r="F390" s="32">
        <f t="shared" si="304"/>
        <v>0</v>
      </c>
      <c r="G390" s="32">
        <f t="shared" si="304"/>
        <v>0</v>
      </c>
      <c r="H390" s="32">
        <f t="shared" si="304"/>
        <v>0</v>
      </c>
      <c r="I390" s="32">
        <f t="shared" si="304"/>
        <v>0</v>
      </c>
      <c r="J390" s="32">
        <f t="shared" si="304"/>
        <v>0</v>
      </c>
      <c r="K390" s="32">
        <f t="shared" si="304"/>
        <v>0</v>
      </c>
      <c r="L390" s="5">
        <f t="shared" si="303"/>
        <v>0</v>
      </c>
    </row>
    <row r="391" spans="1:12" x14ac:dyDescent="0.25">
      <c r="A391" s="4" t="s">
        <v>124</v>
      </c>
      <c r="B391" s="32">
        <f t="shared" ref="B391:K391" si="305">B38+B97+B156+B215+B274+B333</f>
        <v>5324335.9403624479</v>
      </c>
      <c r="C391" s="32">
        <f t="shared" si="305"/>
        <v>5324335.9403624479</v>
      </c>
      <c r="D391" s="32">
        <f t="shared" si="305"/>
        <v>5324335.9403624479</v>
      </c>
      <c r="E391" s="32">
        <f t="shared" si="305"/>
        <v>5324335.9403624479</v>
      </c>
      <c r="F391" s="32">
        <f t="shared" si="305"/>
        <v>5324335.9403624479</v>
      </c>
      <c r="G391" s="32">
        <f t="shared" si="305"/>
        <v>5324335.9403624479</v>
      </c>
      <c r="H391" s="32">
        <f t="shared" si="305"/>
        <v>5324335.9403624479</v>
      </c>
      <c r="I391" s="32">
        <f t="shared" si="305"/>
        <v>5324335.9403624479</v>
      </c>
      <c r="J391" s="32">
        <f t="shared" si="305"/>
        <v>5324335.9403624479</v>
      </c>
      <c r="K391" s="32">
        <f t="shared" si="305"/>
        <v>5324335.9403624479</v>
      </c>
      <c r="L391" s="5">
        <f t="shared" si="303"/>
        <v>5324335.9403624469</v>
      </c>
    </row>
    <row r="392" spans="1:12" x14ac:dyDescent="0.25">
      <c r="A392" s="4" t="s">
        <v>12</v>
      </c>
      <c r="B392" s="32">
        <f t="shared" ref="B392:K392" si="306">B39+B98+B157+B216+B275+B334</f>
        <v>0</v>
      </c>
      <c r="C392" s="32">
        <f t="shared" si="306"/>
        <v>0</v>
      </c>
      <c r="D392" s="32">
        <f t="shared" si="306"/>
        <v>0</v>
      </c>
      <c r="E392" s="32">
        <f t="shared" si="306"/>
        <v>0</v>
      </c>
      <c r="F392" s="32">
        <f t="shared" si="306"/>
        <v>0</v>
      </c>
      <c r="G392" s="32">
        <f t="shared" si="306"/>
        <v>0</v>
      </c>
      <c r="H392" s="32">
        <f t="shared" si="306"/>
        <v>0</v>
      </c>
      <c r="I392" s="32">
        <f t="shared" si="306"/>
        <v>0</v>
      </c>
      <c r="J392" s="32">
        <f t="shared" si="306"/>
        <v>0</v>
      </c>
      <c r="K392" s="32">
        <f t="shared" si="306"/>
        <v>0</v>
      </c>
      <c r="L392" s="5">
        <f t="shared" si="303"/>
        <v>0</v>
      </c>
    </row>
    <row r="393" spans="1:12" x14ac:dyDescent="0.25">
      <c r="A393" s="4" t="s">
        <v>13</v>
      </c>
      <c r="B393" s="32">
        <f t="shared" ref="B393:K393" si="307">B40+B99+B158+B217+B276+B335</f>
        <v>1015676.5824989905</v>
      </c>
      <c r="C393" s="32">
        <f t="shared" si="307"/>
        <v>1015676.5824989905</v>
      </c>
      <c r="D393" s="32">
        <f t="shared" si="307"/>
        <v>1015676.5824989905</v>
      </c>
      <c r="E393" s="32">
        <f t="shared" si="307"/>
        <v>1015676.5824989905</v>
      </c>
      <c r="F393" s="32">
        <f t="shared" si="307"/>
        <v>1015676.5824989905</v>
      </c>
      <c r="G393" s="32">
        <f t="shared" si="307"/>
        <v>1015676.5824989905</v>
      </c>
      <c r="H393" s="32">
        <f t="shared" si="307"/>
        <v>1015676.5824989905</v>
      </c>
      <c r="I393" s="32">
        <f t="shared" si="307"/>
        <v>1015676.5824989905</v>
      </c>
      <c r="J393" s="32">
        <f t="shared" si="307"/>
        <v>1015676.5824989905</v>
      </c>
      <c r="K393" s="32">
        <f t="shared" si="307"/>
        <v>1015676.5824989905</v>
      </c>
      <c r="L393" s="5">
        <f t="shared" si="303"/>
        <v>1015676.5824989902</v>
      </c>
    </row>
    <row r="394" spans="1:12" x14ac:dyDescent="0.25">
      <c r="A394" s="4" t="s">
        <v>14</v>
      </c>
      <c r="B394" s="32">
        <f t="shared" ref="B394:K394" si="308">B41+B100+B159+B218+B277+B336</f>
        <v>0</v>
      </c>
      <c r="C394" s="32">
        <f t="shared" si="308"/>
        <v>0</v>
      </c>
      <c r="D394" s="32">
        <f t="shared" si="308"/>
        <v>0</v>
      </c>
      <c r="E394" s="32">
        <f t="shared" si="308"/>
        <v>0</v>
      </c>
      <c r="F394" s="32">
        <f t="shared" si="308"/>
        <v>0</v>
      </c>
      <c r="G394" s="32">
        <f t="shared" si="308"/>
        <v>0</v>
      </c>
      <c r="H394" s="32">
        <f t="shared" si="308"/>
        <v>0</v>
      </c>
      <c r="I394" s="32">
        <f t="shared" si="308"/>
        <v>0</v>
      </c>
      <c r="J394" s="32">
        <f t="shared" si="308"/>
        <v>0</v>
      </c>
      <c r="K394" s="32">
        <f t="shared" si="308"/>
        <v>0</v>
      </c>
      <c r="L394" s="5">
        <f t="shared" si="303"/>
        <v>0</v>
      </c>
    </row>
    <row r="395" spans="1:12" x14ac:dyDescent="0.25">
      <c r="A395" s="4" t="s">
        <v>125</v>
      </c>
      <c r="B395" s="32">
        <f t="shared" ref="B395:K395" si="309">B42+B101+B160+B219+B278+B337</f>
        <v>4333790.2018960817</v>
      </c>
      <c r="C395" s="32">
        <f t="shared" si="309"/>
        <v>4333790.2018960817</v>
      </c>
      <c r="D395" s="32">
        <f t="shared" si="309"/>
        <v>4333790.2018960817</v>
      </c>
      <c r="E395" s="32">
        <f t="shared" si="309"/>
        <v>4333790.2018960817</v>
      </c>
      <c r="F395" s="32">
        <f t="shared" si="309"/>
        <v>4333790.2018960817</v>
      </c>
      <c r="G395" s="32">
        <f t="shared" si="309"/>
        <v>4333790.2018960817</v>
      </c>
      <c r="H395" s="32">
        <f t="shared" si="309"/>
        <v>4333790.2018960817</v>
      </c>
      <c r="I395" s="32">
        <f t="shared" si="309"/>
        <v>4333790.2018960817</v>
      </c>
      <c r="J395" s="32">
        <f t="shared" si="309"/>
        <v>4333790.2018960817</v>
      </c>
      <c r="K395" s="32">
        <f t="shared" si="309"/>
        <v>4333790.2018960817</v>
      </c>
      <c r="L395" s="5">
        <f t="shared" si="303"/>
        <v>4333790.2018960807</v>
      </c>
    </row>
    <row r="396" spans="1:12" x14ac:dyDescent="0.25">
      <c r="A396" s="4" t="s">
        <v>37</v>
      </c>
      <c r="B396" s="32">
        <f t="shared" ref="B396:K396" si="310">B43+B102+B161+B220+B279+B338</f>
        <v>69876898.556077763</v>
      </c>
      <c r="C396" s="32">
        <f t="shared" si="310"/>
        <v>69876898.556077763</v>
      </c>
      <c r="D396" s="32">
        <f t="shared" si="310"/>
        <v>69876898.556077763</v>
      </c>
      <c r="E396" s="32">
        <f t="shared" si="310"/>
        <v>69876898.556077763</v>
      </c>
      <c r="F396" s="32">
        <f t="shared" si="310"/>
        <v>69876898.556077763</v>
      </c>
      <c r="G396" s="32">
        <f t="shared" si="310"/>
        <v>69876898.556077763</v>
      </c>
      <c r="H396" s="32">
        <f t="shared" si="310"/>
        <v>69876898.556077763</v>
      </c>
      <c r="I396" s="32">
        <f t="shared" si="310"/>
        <v>69876898.556077763</v>
      </c>
      <c r="J396" s="32">
        <f t="shared" si="310"/>
        <v>69876898.556077763</v>
      </c>
      <c r="K396" s="32">
        <f t="shared" si="310"/>
        <v>69876898.556077763</v>
      </c>
      <c r="L396" s="5">
        <f t="shared" si="303"/>
        <v>69876898.556077749</v>
      </c>
    </row>
    <row r="397" spans="1:12" x14ac:dyDescent="0.25">
      <c r="A397" s="4" t="s">
        <v>38</v>
      </c>
      <c r="B397" s="32">
        <f t="shared" ref="B397:K397" si="311">B44+B103+B162+B221+B280+B339</f>
        <v>0</v>
      </c>
      <c r="C397" s="32">
        <f t="shared" si="311"/>
        <v>0</v>
      </c>
      <c r="D397" s="32">
        <f t="shared" si="311"/>
        <v>0</v>
      </c>
      <c r="E397" s="32">
        <f t="shared" si="311"/>
        <v>0</v>
      </c>
      <c r="F397" s="32">
        <f t="shared" si="311"/>
        <v>0</v>
      </c>
      <c r="G397" s="32">
        <f t="shared" si="311"/>
        <v>0</v>
      </c>
      <c r="H397" s="32">
        <f t="shared" si="311"/>
        <v>0</v>
      </c>
      <c r="I397" s="32">
        <f t="shared" si="311"/>
        <v>0</v>
      </c>
      <c r="J397" s="32">
        <f t="shared" si="311"/>
        <v>0</v>
      </c>
      <c r="K397" s="32">
        <f t="shared" si="311"/>
        <v>0</v>
      </c>
      <c r="L397" s="5">
        <f t="shared" si="303"/>
        <v>0</v>
      </c>
    </row>
    <row r="398" spans="1:12" x14ac:dyDescent="0.25">
      <c r="A398" s="4" t="s">
        <v>15</v>
      </c>
      <c r="B398" s="13">
        <f t="shared" ref="B398:K398" si="312">B45+B104+B163+B222+B281+B340</f>
        <v>38059506.878572211</v>
      </c>
      <c r="C398" s="13">
        <f t="shared" si="312"/>
        <v>38059506.878572211</v>
      </c>
      <c r="D398" s="13">
        <f t="shared" si="312"/>
        <v>38059506.878572211</v>
      </c>
      <c r="E398" s="13">
        <f t="shared" si="312"/>
        <v>38059506.878572211</v>
      </c>
      <c r="F398" s="13">
        <f t="shared" si="312"/>
        <v>38059506.878572211</v>
      </c>
      <c r="G398" s="13">
        <f t="shared" si="312"/>
        <v>38059506.878572211</v>
      </c>
      <c r="H398" s="13">
        <f t="shared" si="312"/>
        <v>38059506.878572211</v>
      </c>
      <c r="I398" s="13">
        <f t="shared" si="312"/>
        <v>38059506.878572211</v>
      </c>
      <c r="J398" s="13">
        <f t="shared" si="312"/>
        <v>38059506.878572211</v>
      </c>
      <c r="K398" s="13">
        <f t="shared" si="312"/>
        <v>38059506.878572211</v>
      </c>
      <c r="L398" s="5">
        <f t="shared" si="303"/>
        <v>38059506.878572218</v>
      </c>
    </row>
    <row r="399" spans="1:12" x14ac:dyDescent="0.25">
      <c r="B399" s="5">
        <f>SUM(B388:B398)</f>
        <v>147631198.57608008</v>
      </c>
      <c r="C399" s="5">
        <f t="shared" ref="C399:K399" si="313">SUM(C388:C398)</f>
        <v>147631198.57608008</v>
      </c>
      <c r="D399" s="5">
        <f t="shared" si="313"/>
        <v>147631198.57608008</v>
      </c>
      <c r="E399" s="5">
        <f t="shared" si="313"/>
        <v>147631198.57608008</v>
      </c>
      <c r="F399" s="5">
        <f t="shared" si="313"/>
        <v>147631198.57608008</v>
      </c>
      <c r="G399" s="5">
        <f t="shared" si="313"/>
        <v>147631198.57608008</v>
      </c>
      <c r="H399" s="5">
        <f t="shared" si="313"/>
        <v>147631198.57608008</v>
      </c>
      <c r="I399" s="5">
        <f t="shared" si="313"/>
        <v>147631198.57608008</v>
      </c>
      <c r="J399" s="5">
        <f t="shared" si="313"/>
        <v>147631198.57608008</v>
      </c>
      <c r="K399" s="5">
        <f t="shared" si="313"/>
        <v>147631198.57608008</v>
      </c>
      <c r="L399" s="5"/>
    </row>
    <row r="401" spans="1:12" ht="30" x14ac:dyDescent="0.25">
      <c r="A401" s="15" t="s">
        <v>94</v>
      </c>
      <c r="B401" s="12" t="str">
        <f>'Summary dashboard'!C4</f>
        <v>2023</v>
      </c>
      <c r="C401" s="12">
        <f t="shared" ref="C401" si="314">B401+1</f>
        <v>2024</v>
      </c>
      <c r="D401" s="12">
        <f t="shared" ref="D401" si="315">C401+1</f>
        <v>2025</v>
      </c>
      <c r="E401" s="12">
        <f t="shared" ref="E401" si="316">D401+1</f>
        <v>2026</v>
      </c>
      <c r="F401" s="12">
        <f t="shared" ref="F401" si="317">E401+1</f>
        <v>2027</v>
      </c>
      <c r="G401" s="12">
        <f t="shared" ref="G401" si="318">F401+1</f>
        <v>2028</v>
      </c>
      <c r="H401" s="12">
        <f t="shared" ref="H401" si="319">G401+1</f>
        <v>2029</v>
      </c>
      <c r="I401" s="12">
        <f t="shared" ref="I401" si="320">H401+1</f>
        <v>2030</v>
      </c>
      <c r="J401" s="12">
        <f t="shared" ref="J401" si="321">I401+1</f>
        <v>2031</v>
      </c>
      <c r="K401" s="12">
        <f t="shared" ref="K401" si="322">J401+1</f>
        <v>2032</v>
      </c>
      <c r="L401" s="1" t="s">
        <v>28</v>
      </c>
    </row>
    <row r="402" spans="1:12" x14ac:dyDescent="0.25">
      <c r="A402" s="4" t="s">
        <v>35</v>
      </c>
      <c r="B402" s="32">
        <f>B49+B108+B167+B226+B285+B344</f>
        <v>30605823.866706267</v>
      </c>
      <c r="C402" s="32">
        <f t="shared" ref="C402:K402" si="323">C49+C108+C167+C226+C285+C344</f>
        <v>30605823.866706267</v>
      </c>
      <c r="D402" s="32">
        <f t="shared" si="323"/>
        <v>30605823.866706267</v>
      </c>
      <c r="E402" s="32">
        <f t="shared" si="323"/>
        <v>30605823.866706267</v>
      </c>
      <c r="F402" s="32">
        <f t="shared" si="323"/>
        <v>30605823.866706267</v>
      </c>
      <c r="G402" s="32">
        <f t="shared" si="323"/>
        <v>30605823.866706267</v>
      </c>
      <c r="H402" s="32">
        <f t="shared" si="323"/>
        <v>30605823.866706267</v>
      </c>
      <c r="I402" s="32">
        <f t="shared" si="323"/>
        <v>30605823.866706267</v>
      </c>
      <c r="J402" s="32">
        <f t="shared" si="323"/>
        <v>30605823.866706267</v>
      </c>
      <c r="K402" s="32">
        <f t="shared" si="323"/>
        <v>30605823.866706267</v>
      </c>
      <c r="L402" s="5">
        <f>AVERAGE(B402:K402)</f>
        <v>30605823.86670626</v>
      </c>
    </row>
    <row r="403" spans="1:12" x14ac:dyDescent="0.25">
      <c r="A403" s="4" t="s">
        <v>36</v>
      </c>
      <c r="B403" s="32">
        <f t="shared" ref="B403:K403" si="324">B50+B109+B168+B227+B286+B345</f>
        <v>5966399.9258151352</v>
      </c>
      <c r="C403" s="32">
        <f t="shared" si="324"/>
        <v>5966399.9258151352</v>
      </c>
      <c r="D403" s="32">
        <f t="shared" si="324"/>
        <v>5966399.9258151352</v>
      </c>
      <c r="E403" s="32">
        <f t="shared" si="324"/>
        <v>5966399.9258151352</v>
      </c>
      <c r="F403" s="32">
        <f t="shared" si="324"/>
        <v>5966399.9258151352</v>
      </c>
      <c r="G403" s="32">
        <f t="shared" si="324"/>
        <v>5966399.9258151352</v>
      </c>
      <c r="H403" s="32">
        <f t="shared" si="324"/>
        <v>5966399.9258151352</v>
      </c>
      <c r="I403" s="32">
        <f t="shared" si="324"/>
        <v>5966399.9258151352</v>
      </c>
      <c r="J403" s="32">
        <f t="shared" si="324"/>
        <v>5966399.9258151352</v>
      </c>
      <c r="K403" s="32">
        <f t="shared" si="324"/>
        <v>5966399.9258151352</v>
      </c>
      <c r="L403" s="5">
        <f t="shared" ref="L403:L412" si="325">AVERAGE(B403:K403)</f>
        <v>5966399.9258151352</v>
      </c>
    </row>
    <row r="404" spans="1:12" x14ac:dyDescent="0.25">
      <c r="A404" s="4" t="s">
        <v>11</v>
      </c>
      <c r="B404" s="32">
        <f t="shared" ref="B404:K404" si="326">B51+B110+B169+B228+B287+B346</f>
        <v>0</v>
      </c>
      <c r="C404" s="32">
        <f t="shared" si="326"/>
        <v>0</v>
      </c>
      <c r="D404" s="32">
        <f t="shared" si="326"/>
        <v>0</v>
      </c>
      <c r="E404" s="32">
        <f t="shared" si="326"/>
        <v>0</v>
      </c>
      <c r="F404" s="32">
        <f t="shared" si="326"/>
        <v>0</v>
      </c>
      <c r="G404" s="32">
        <f t="shared" si="326"/>
        <v>0</v>
      </c>
      <c r="H404" s="32">
        <f t="shared" si="326"/>
        <v>0</v>
      </c>
      <c r="I404" s="32">
        <f t="shared" si="326"/>
        <v>0</v>
      </c>
      <c r="J404" s="32">
        <f t="shared" si="326"/>
        <v>0</v>
      </c>
      <c r="K404" s="32">
        <f t="shared" si="326"/>
        <v>0</v>
      </c>
      <c r="L404" s="5">
        <f t="shared" si="325"/>
        <v>0</v>
      </c>
    </row>
    <row r="405" spans="1:12" x14ac:dyDescent="0.25">
      <c r="A405" s="4" t="s">
        <v>124</v>
      </c>
      <c r="B405" s="32">
        <f t="shared" ref="B405:K405" si="327">B52+B111+B170+B229+B288+B347</f>
        <v>6211725.2637561895</v>
      </c>
      <c r="C405" s="32">
        <f t="shared" si="327"/>
        <v>6211725.2637561895</v>
      </c>
      <c r="D405" s="32">
        <f t="shared" si="327"/>
        <v>6211725.2637561895</v>
      </c>
      <c r="E405" s="32">
        <f t="shared" si="327"/>
        <v>6211725.2637561895</v>
      </c>
      <c r="F405" s="32">
        <f t="shared" si="327"/>
        <v>6211725.2637561895</v>
      </c>
      <c r="G405" s="32">
        <f t="shared" si="327"/>
        <v>6211725.2637561895</v>
      </c>
      <c r="H405" s="32">
        <f t="shared" si="327"/>
        <v>6211725.2637561895</v>
      </c>
      <c r="I405" s="32">
        <f t="shared" si="327"/>
        <v>6211725.2637561895</v>
      </c>
      <c r="J405" s="32">
        <f t="shared" si="327"/>
        <v>6211725.2637561895</v>
      </c>
      <c r="K405" s="32">
        <f t="shared" si="327"/>
        <v>6211725.2637561895</v>
      </c>
      <c r="L405" s="5">
        <f t="shared" si="325"/>
        <v>6211725.2637561886</v>
      </c>
    </row>
    <row r="406" spans="1:12" x14ac:dyDescent="0.25">
      <c r="A406" s="4" t="s">
        <v>12</v>
      </c>
      <c r="B406" s="32">
        <f t="shared" ref="B406:K406" si="328">B53+B112+B171+B230+B289+B348</f>
        <v>8153079.729607475</v>
      </c>
      <c r="C406" s="32">
        <f t="shared" si="328"/>
        <v>8153079.729607475</v>
      </c>
      <c r="D406" s="32">
        <f t="shared" si="328"/>
        <v>8153079.729607475</v>
      </c>
      <c r="E406" s="32">
        <f t="shared" si="328"/>
        <v>8153079.729607475</v>
      </c>
      <c r="F406" s="32">
        <f t="shared" si="328"/>
        <v>8153079.729607475</v>
      </c>
      <c r="G406" s="32">
        <f t="shared" si="328"/>
        <v>8153079.729607475</v>
      </c>
      <c r="H406" s="32">
        <f t="shared" si="328"/>
        <v>8153079.729607475</v>
      </c>
      <c r="I406" s="32">
        <f t="shared" si="328"/>
        <v>8153079.729607475</v>
      </c>
      <c r="J406" s="32">
        <f t="shared" si="328"/>
        <v>8153079.729607475</v>
      </c>
      <c r="K406" s="32">
        <f t="shared" si="328"/>
        <v>8153079.729607475</v>
      </c>
      <c r="L406" s="5">
        <f t="shared" si="325"/>
        <v>8153079.7296074759</v>
      </c>
    </row>
    <row r="407" spans="1:12" x14ac:dyDescent="0.25">
      <c r="A407" s="4" t="s">
        <v>13</v>
      </c>
      <c r="B407" s="32">
        <f t="shared" ref="B407:K407" si="329">B54+B113+B172+B231+B290+B349</f>
        <v>1523514.8737484859</v>
      </c>
      <c r="C407" s="32">
        <f t="shared" si="329"/>
        <v>1523514.8737484859</v>
      </c>
      <c r="D407" s="32">
        <f t="shared" si="329"/>
        <v>1523514.8737484859</v>
      </c>
      <c r="E407" s="32">
        <f t="shared" si="329"/>
        <v>1523514.8737484859</v>
      </c>
      <c r="F407" s="32">
        <f t="shared" si="329"/>
        <v>1523514.8737484859</v>
      </c>
      <c r="G407" s="32">
        <f t="shared" si="329"/>
        <v>1523514.8737484859</v>
      </c>
      <c r="H407" s="32">
        <f t="shared" si="329"/>
        <v>1523514.8737484859</v>
      </c>
      <c r="I407" s="32">
        <f t="shared" si="329"/>
        <v>1523514.8737484859</v>
      </c>
      <c r="J407" s="32">
        <f t="shared" si="329"/>
        <v>1523514.8737484859</v>
      </c>
      <c r="K407" s="32">
        <f t="shared" si="329"/>
        <v>1523514.8737484859</v>
      </c>
      <c r="L407" s="5">
        <f t="shared" si="325"/>
        <v>1523514.8737484857</v>
      </c>
    </row>
    <row r="408" spans="1:12" x14ac:dyDescent="0.25">
      <c r="A408" s="4" t="s">
        <v>14</v>
      </c>
      <c r="B408" s="32">
        <f t="shared" ref="B408:K408" si="330">B55+B114+B173+B232+B291+B350</f>
        <v>0</v>
      </c>
      <c r="C408" s="32">
        <f t="shared" si="330"/>
        <v>0</v>
      </c>
      <c r="D408" s="32">
        <f t="shared" si="330"/>
        <v>0</v>
      </c>
      <c r="E408" s="32">
        <f t="shared" si="330"/>
        <v>0</v>
      </c>
      <c r="F408" s="32">
        <f t="shared" si="330"/>
        <v>0</v>
      </c>
      <c r="G408" s="32">
        <f t="shared" si="330"/>
        <v>0</v>
      </c>
      <c r="H408" s="32">
        <f t="shared" si="330"/>
        <v>0</v>
      </c>
      <c r="I408" s="32">
        <f t="shared" si="330"/>
        <v>0</v>
      </c>
      <c r="J408" s="32">
        <f t="shared" si="330"/>
        <v>0</v>
      </c>
      <c r="K408" s="32">
        <f t="shared" si="330"/>
        <v>0</v>
      </c>
      <c r="L408" s="5">
        <f t="shared" si="325"/>
        <v>0</v>
      </c>
    </row>
    <row r="409" spans="1:12" x14ac:dyDescent="0.25">
      <c r="A409" s="4" t="s">
        <v>125</v>
      </c>
      <c r="B409" s="32">
        <f t="shared" ref="B409:K409" si="331">B56+B115+B174+B233+B292+B351</f>
        <v>5056088.5688787615</v>
      </c>
      <c r="C409" s="32">
        <f t="shared" si="331"/>
        <v>5056088.5688787615</v>
      </c>
      <c r="D409" s="32">
        <f t="shared" si="331"/>
        <v>5056088.5688787615</v>
      </c>
      <c r="E409" s="32">
        <f t="shared" si="331"/>
        <v>5056088.5688787615</v>
      </c>
      <c r="F409" s="32">
        <f t="shared" si="331"/>
        <v>5056088.5688787615</v>
      </c>
      <c r="G409" s="32">
        <f t="shared" si="331"/>
        <v>5056088.5688787615</v>
      </c>
      <c r="H409" s="32">
        <f t="shared" si="331"/>
        <v>5056088.5688787615</v>
      </c>
      <c r="I409" s="32">
        <f t="shared" si="331"/>
        <v>5056088.5688787615</v>
      </c>
      <c r="J409" s="32">
        <f t="shared" si="331"/>
        <v>5056088.5688787615</v>
      </c>
      <c r="K409" s="32">
        <f t="shared" si="331"/>
        <v>5056088.5688787615</v>
      </c>
      <c r="L409" s="5">
        <f t="shared" si="325"/>
        <v>5056088.5688787615</v>
      </c>
    </row>
    <row r="410" spans="1:12" x14ac:dyDescent="0.25">
      <c r="A410" s="4" t="s">
        <v>37</v>
      </c>
      <c r="B410" s="32">
        <f t="shared" ref="B410:K410" si="332">B57+B116+B175+B234+B293+B352</f>
        <v>86127340.080747008</v>
      </c>
      <c r="C410" s="32">
        <f t="shared" si="332"/>
        <v>86127340.080747008</v>
      </c>
      <c r="D410" s="32">
        <f t="shared" si="332"/>
        <v>86127340.080747008</v>
      </c>
      <c r="E410" s="32">
        <f t="shared" si="332"/>
        <v>86127340.080747008</v>
      </c>
      <c r="F410" s="32">
        <f t="shared" si="332"/>
        <v>86127340.080747008</v>
      </c>
      <c r="G410" s="32">
        <f t="shared" si="332"/>
        <v>86127340.080747008</v>
      </c>
      <c r="H410" s="32">
        <f t="shared" si="332"/>
        <v>86127340.080747008</v>
      </c>
      <c r="I410" s="32">
        <f t="shared" si="332"/>
        <v>86127340.080747008</v>
      </c>
      <c r="J410" s="32">
        <f t="shared" si="332"/>
        <v>86127340.080747008</v>
      </c>
      <c r="K410" s="32">
        <f t="shared" si="332"/>
        <v>86127340.080747008</v>
      </c>
      <c r="L410" s="5">
        <f t="shared" si="325"/>
        <v>86127340.080747008</v>
      </c>
    </row>
    <row r="411" spans="1:12" x14ac:dyDescent="0.25">
      <c r="A411" s="4" t="s">
        <v>38</v>
      </c>
      <c r="B411" s="32">
        <f t="shared" ref="B411:K411" si="333">B58+B117+B176+B235+B294+B353</f>
        <v>1183661.1033376809</v>
      </c>
      <c r="C411" s="32">
        <f t="shared" si="333"/>
        <v>1183661.1033376809</v>
      </c>
      <c r="D411" s="32">
        <f t="shared" si="333"/>
        <v>1183661.1033376809</v>
      </c>
      <c r="E411" s="32">
        <f t="shared" si="333"/>
        <v>1183661.1033376809</v>
      </c>
      <c r="F411" s="32">
        <f t="shared" si="333"/>
        <v>1183661.1033376809</v>
      </c>
      <c r="G411" s="32">
        <f t="shared" si="333"/>
        <v>1183661.1033376809</v>
      </c>
      <c r="H411" s="32">
        <f t="shared" si="333"/>
        <v>1183661.1033376809</v>
      </c>
      <c r="I411" s="32">
        <f t="shared" si="333"/>
        <v>1183661.1033376809</v>
      </c>
      <c r="J411" s="32">
        <f t="shared" si="333"/>
        <v>1183661.1033376809</v>
      </c>
      <c r="K411" s="32">
        <f t="shared" si="333"/>
        <v>1183661.1033376809</v>
      </c>
      <c r="L411" s="5">
        <f t="shared" si="325"/>
        <v>1183661.1033376809</v>
      </c>
    </row>
    <row r="412" spans="1:12" x14ac:dyDescent="0.25">
      <c r="A412" s="4" t="s">
        <v>15</v>
      </c>
      <c r="B412" s="13">
        <f t="shared" ref="B412:K412" si="334">B59+B118+B177+B236+B295+B354</f>
        <v>57089260.317858316</v>
      </c>
      <c r="C412" s="13">
        <f t="shared" si="334"/>
        <v>57089260.317858316</v>
      </c>
      <c r="D412" s="13">
        <f t="shared" si="334"/>
        <v>57089260.317858316</v>
      </c>
      <c r="E412" s="13">
        <f t="shared" si="334"/>
        <v>57089260.317858316</v>
      </c>
      <c r="F412" s="13">
        <f t="shared" si="334"/>
        <v>57089260.317858316</v>
      </c>
      <c r="G412" s="13">
        <f t="shared" si="334"/>
        <v>57089260.317858316</v>
      </c>
      <c r="H412" s="13">
        <f t="shared" si="334"/>
        <v>57089260.317858316</v>
      </c>
      <c r="I412" s="13">
        <f t="shared" si="334"/>
        <v>57089260.317858316</v>
      </c>
      <c r="J412" s="13">
        <f t="shared" si="334"/>
        <v>57089260.317858316</v>
      </c>
      <c r="K412" s="13">
        <f t="shared" si="334"/>
        <v>57089260.317858316</v>
      </c>
      <c r="L412" s="13">
        <f t="shared" si="325"/>
        <v>57089260.317858323</v>
      </c>
    </row>
    <row r="413" spans="1:12" x14ac:dyDescent="0.25">
      <c r="B413" s="5">
        <f>SUM(B402:B412)</f>
        <v>201916893.73045531</v>
      </c>
      <c r="C413" s="5">
        <f t="shared" ref="C413:K413" si="335">SUM(C402:C412)</f>
        <v>201916893.73045531</v>
      </c>
      <c r="D413" s="5">
        <f t="shared" si="335"/>
        <v>201916893.73045531</v>
      </c>
      <c r="E413" s="5">
        <f t="shared" si="335"/>
        <v>201916893.73045531</v>
      </c>
      <c r="F413" s="5">
        <f t="shared" si="335"/>
        <v>201916893.73045531</v>
      </c>
      <c r="G413" s="5">
        <f t="shared" si="335"/>
        <v>201916893.73045531</v>
      </c>
      <c r="H413" s="5">
        <f t="shared" si="335"/>
        <v>201916893.73045531</v>
      </c>
      <c r="I413" s="5">
        <f t="shared" si="335"/>
        <v>201916893.73045531</v>
      </c>
      <c r="J413" s="5">
        <f t="shared" si="335"/>
        <v>201916893.73045531</v>
      </c>
      <c r="K413" s="5">
        <f t="shared" si="335"/>
        <v>201916893.73045531</v>
      </c>
      <c r="L413" s="5">
        <f>SUM(L402:L412)</f>
        <v>201916893.73045534</v>
      </c>
    </row>
    <row r="415" spans="1:12" x14ac:dyDescent="0.25">
      <c r="A415" s="1" t="s">
        <v>60</v>
      </c>
      <c r="B415" s="12" t="str">
        <f>'Summary dashboard'!C4</f>
        <v>2023</v>
      </c>
      <c r="C415" s="12">
        <f t="shared" ref="C415" si="336">B415+1</f>
        <v>2024</v>
      </c>
      <c r="D415" s="12">
        <f t="shared" ref="D415" si="337">C415+1</f>
        <v>2025</v>
      </c>
      <c r="E415" s="12">
        <f t="shared" ref="E415" si="338">D415+1</f>
        <v>2026</v>
      </c>
      <c r="F415" s="12">
        <f t="shared" ref="F415" si="339">E415+1</f>
        <v>2027</v>
      </c>
      <c r="G415" s="12">
        <f t="shared" ref="G415" si="340">F415+1</f>
        <v>2028</v>
      </c>
      <c r="H415" s="12">
        <f t="shared" ref="H415" si="341">G415+1</f>
        <v>2029</v>
      </c>
      <c r="I415" s="12">
        <f t="shared" ref="I415" si="342">H415+1</f>
        <v>2030</v>
      </c>
      <c r="J415" s="12">
        <f t="shared" ref="J415" si="343">I415+1</f>
        <v>2031</v>
      </c>
      <c r="K415" s="12">
        <f t="shared" ref="K415" si="344">J415+1</f>
        <v>2032</v>
      </c>
      <c r="L415" s="1" t="s">
        <v>28</v>
      </c>
    </row>
    <row r="416" spans="1:12" x14ac:dyDescent="0.25">
      <c r="A416" s="4" t="s">
        <v>42</v>
      </c>
      <c r="B416" s="14">
        <f>B17</f>
        <v>111784454.31519815</v>
      </c>
      <c r="C416" s="14">
        <f t="shared" ref="C416:K416" si="345">C17</f>
        <v>111784454.31519815</v>
      </c>
      <c r="D416" s="14">
        <f t="shared" si="345"/>
        <v>111784454.31519815</v>
      </c>
      <c r="E416" s="14">
        <f t="shared" si="345"/>
        <v>111784454.31519815</v>
      </c>
      <c r="F416" s="14">
        <f t="shared" si="345"/>
        <v>111784454.31519815</v>
      </c>
      <c r="G416" s="14">
        <f t="shared" si="345"/>
        <v>111784454.31519815</v>
      </c>
      <c r="H416" s="14">
        <f t="shared" si="345"/>
        <v>111784454.31519815</v>
      </c>
      <c r="I416" s="14">
        <f t="shared" si="345"/>
        <v>111784454.31519815</v>
      </c>
      <c r="J416" s="14">
        <f t="shared" si="345"/>
        <v>111784454.31519815</v>
      </c>
      <c r="K416" s="14">
        <f t="shared" si="345"/>
        <v>111784454.31519815</v>
      </c>
      <c r="L416" s="5">
        <f>AVERAGE(B416:K416)</f>
        <v>111784454.31519815</v>
      </c>
    </row>
    <row r="417" spans="1:12" x14ac:dyDescent="0.25">
      <c r="A417" s="4" t="s">
        <v>31</v>
      </c>
      <c r="B417" s="14">
        <f>B76</f>
        <v>87236620.773674354</v>
      </c>
      <c r="C417" s="14">
        <f t="shared" ref="C417:K417" si="346">C76</f>
        <v>87236620.773674354</v>
      </c>
      <c r="D417" s="14">
        <f t="shared" si="346"/>
        <v>87236620.773674354</v>
      </c>
      <c r="E417" s="14">
        <f t="shared" si="346"/>
        <v>87236620.773674354</v>
      </c>
      <c r="F417" s="14">
        <f t="shared" si="346"/>
        <v>87236620.773674354</v>
      </c>
      <c r="G417" s="14">
        <f t="shared" si="346"/>
        <v>87236620.773674354</v>
      </c>
      <c r="H417" s="14">
        <f t="shared" si="346"/>
        <v>87236620.773674354</v>
      </c>
      <c r="I417" s="14">
        <f t="shared" si="346"/>
        <v>87236620.773674354</v>
      </c>
      <c r="J417" s="14">
        <f t="shared" si="346"/>
        <v>87236620.773674354</v>
      </c>
      <c r="K417" s="14">
        <f t="shared" si="346"/>
        <v>87236620.773674354</v>
      </c>
      <c r="L417" s="5">
        <f t="shared" ref="L417:L421" si="347">AVERAGE(B417:K417)</f>
        <v>87236620.773674354</v>
      </c>
    </row>
    <row r="418" spans="1:12" x14ac:dyDescent="0.25">
      <c r="A418" s="4" t="s">
        <v>50</v>
      </c>
      <c r="B418" s="14">
        <f>B135</f>
        <v>86440586.104272187</v>
      </c>
      <c r="C418" s="14">
        <f t="shared" ref="C418:K418" si="348">C135</f>
        <v>86440586.104272187</v>
      </c>
      <c r="D418" s="14">
        <f t="shared" si="348"/>
        <v>86440586.104272187</v>
      </c>
      <c r="E418" s="14">
        <f t="shared" si="348"/>
        <v>86440586.104272187</v>
      </c>
      <c r="F418" s="14">
        <f t="shared" si="348"/>
        <v>86440586.104272187</v>
      </c>
      <c r="G418" s="14">
        <f t="shared" si="348"/>
        <v>86440586.104272187</v>
      </c>
      <c r="H418" s="14">
        <f t="shared" si="348"/>
        <v>86440586.104272187</v>
      </c>
      <c r="I418" s="14">
        <f t="shared" si="348"/>
        <v>86440586.104272187</v>
      </c>
      <c r="J418" s="14">
        <f t="shared" si="348"/>
        <v>86440586.104272187</v>
      </c>
      <c r="K418" s="14">
        <f t="shared" si="348"/>
        <v>86440586.104272187</v>
      </c>
      <c r="L418" s="5">
        <f t="shared" si="347"/>
        <v>86440586.104272172</v>
      </c>
    </row>
    <row r="419" spans="1:12" x14ac:dyDescent="0.25">
      <c r="A419" s="4" t="s">
        <v>33</v>
      </c>
      <c r="B419" s="14">
        <f>B194</f>
        <v>177632271.34652755</v>
      </c>
      <c r="C419" s="14">
        <f t="shared" ref="C419:K419" si="349">C194</f>
        <v>177632271.34652755</v>
      </c>
      <c r="D419" s="14">
        <f t="shared" si="349"/>
        <v>177632271.34652755</v>
      </c>
      <c r="E419" s="14">
        <f t="shared" si="349"/>
        <v>177632271.34652755</v>
      </c>
      <c r="F419" s="14">
        <f t="shared" si="349"/>
        <v>177632271.34652755</v>
      </c>
      <c r="G419" s="14">
        <f t="shared" si="349"/>
        <v>177632271.34652755</v>
      </c>
      <c r="H419" s="14">
        <f t="shared" si="349"/>
        <v>177632271.34652755</v>
      </c>
      <c r="I419" s="14">
        <f t="shared" si="349"/>
        <v>177632271.34652755</v>
      </c>
      <c r="J419" s="14">
        <f t="shared" si="349"/>
        <v>177632271.34652755</v>
      </c>
      <c r="K419" s="14">
        <f t="shared" si="349"/>
        <v>177632271.34652755</v>
      </c>
      <c r="L419" s="5">
        <f t="shared" si="347"/>
        <v>177632271.34652755</v>
      </c>
    </row>
    <row r="420" spans="1:12" x14ac:dyDescent="0.25">
      <c r="A420" s="4" t="s">
        <v>32</v>
      </c>
      <c r="B420" s="14">
        <f>B253</f>
        <v>67849211.600765631</v>
      </c>
      <c r="C420" s="14">
        <f t="shared" ref="C420:K420" si="350">C253</f>
        <v>67849211.600765631</v>
      </c>
      <c r="D420" s="14">
        <f t="shared" si="350"/>
        <v>67849211.600765631</v>
      </c>
      <c r="E420" s="14">
        <f t="shared" si="350"/>
        <v>67849211.600765631</v>
      </c>
      <c r="F420" s="14">
        <f t="shared" si="350"/>
        <v>67849211.600765631</v>
      </c>
      <c r="G420" s="14">
        <f t="shared" si="350"/>
        <v>67849211.600765631</v>
      </c>
      <c r="H420" s="14">
        <f t="shared" si="350"/>
        <v>67849211.600765631</v>
      </c>
      <c r="I420" s="14">
        <f t="shared" si="350"/>
        <v>67849211.600765631</v>
      </c>
      <c r="J420" s="14">
        <f t="shared" si="350"/>
        <v>67849211.600765631</v>
      </c>
      <c r="K420" s="14">
        <f t="shared" si="350"/>
        <v>67849211.600765631</v>
      </c>
      <c r="L420" s="5">
        <f t="shared" si="347"/>
        <v>67849211.600765616</v>
      </c>
    </row>
    <row r="421" spans="1:12" x14ac:dyDescent="0.25">
      <c r="A421" s="4" t="s">
        <v>34</v>
      </c>
      <c r="B421" s="14">
        <f>B312</f>
        <v>105281215.73276597</v>
      </c>
      <c r="C421" s="14">
        <f t="shared" ref="C421:K421" si="351">C312</f>
        <v>105281215.73276597</v>
      </c>
      <c r="D421" s="14">
        <f t="shared" si="351"/>
        <v>105281215.73276597</v>
      </c>
      <c r="E421" s="14">
        <f t="shared" si="351"/>
        <v>105281215.73276597</v>
      </c>
      <c r="F421" s="14">
        <f t="shared" si="351"/>
        <v>105281215.73276597</v>
      </c>
      <c r="G421" s="14">
        <f t="shared" si="351"/>
        <v>105281215.73276597</v>
      </c>
      <c r="H421" s="14">
        <f t="shared" si="351"/>
        <v>105281215.73276597</v>
      </c>
      <c r="I421" s="14">
        <f t="shared" si="351"/>
        <v>105281215.73276597</v>
      </c>
      <c r="J421" s="14">
        <f t="shared" si="351"/>
        <v>105281215.73276597</v>
      </c>
      <c r="K421" s="14">
        <f t="shared" si="351"/>
        <v>105281215.73276597</v>
      </c>
      <c r="L421" s="5">
        <f t="shared" si="347"/>
        <v>105281215.73276596</v>
      </c>
    </row>
    <row r="423" spans="1:12" ht="30" x14ac:dyDescent="0.25">
      <c r="A423" s="15" t="s">
        <v>56</v>
      </c>
      <c r="B423" s="12" t="str">
        <f>'Summary dashboard'!C4</f>
        <v>2023</v>
      </c>
      <c r="C423" s="12">
        <f t="shared" ref="C423" si="352">B423+1</f>
        <v>2024</v>
      </c>
      <c r="D423" s="12">
        <f t="shared" ref="D423" si="353">C423+1</f>
        <v>2025</v>
      </c>
      <c r="E423" s="12">
        <f t="shared" ref="E423" si="354">D423+1</f>
        <v>2026</v>
      </c>
      <c r="F423" s="12">
        <f t="shared" ref="F423" si="355">E423+1</f>
        <v>2027</v>
      </c>
      <c r="G423" s="12">
        <f t="shared" ref="G423" si="356">F423+1</f>
        <v>2028</v>
      </c>
      <c r="H423" s="12">
        <f t="shared" ref="H423" si="357">G423+1</f>
        <v>2029</v>
      </c>
      <c r="I423" s="12">
        <f t="shared" ref="I423" si="358">H423+1</f>
        <v>2030</v>
      </c>
      <c r="J423" s="12">
        <f t="shared" ref="J423" si="359">I423+1</f>
        <v>2031</v>
      </c>
      <c r="K423" s="12">
        <f t="shared" ref="K423" si="360">J423+1</f>
        <v>2032</v>
      </c>
      <c r="L423" s="1" t="s">
        <v>28</v>
      </c>
    </row>
    <row r="424" spans="1:12" x14ac:dyDescent="0.25">
      <c r="A424" s="4" t="s">
        <v>42</v>
      </c>
      <c r="B424" s="14">
        <f>B31</f>
        <v>46780926.421546921</v>
      </c>
      <c r="C424" s="14">
        <f t="shared" ref="C424:K424" si="361">C31</f>
        <v>46780926.421546921</v>
      </c>
      <c r="D424" s="14">
        <f t="shared" si="361"/>
        <v>46780926.421546921</v>
      </c>
      <c r="E424" s="14">
        <f t="shared" si="361"/>
        <v>46780926.421546921</v>
      </c>
      <c r="F424" s="14">
        <f t="shared" si="361"/>
        <v>46780926.421546921</v>
      </c>
      <c r="G424" s="14">
        <f t="shared" si="361"/>
        <v>46780926.421546921</v>
      </c>
      <c r="H424" s="14">
        <f t="shared" si="361"/>
        <v>46780926.421546921</v>
      </c>
      <c r="I424" s="14">
        <f t="shared" si="361"/>
        <v>46780926.421546921</v>
      </c>
      <c r="J424" s="14">
        <f t="shared" si="361"/>
        <v>46780926.421546921</v>
      </c>
      <c r="K424" s="14">
        <f t="shared" si="361"/>
        <v>46780926.421546921</v>
      </c>
      <c r="L424" s="5">
        <f>AVERAGE(B424:K424)</f>
        <v>46780926.421546929</v>
      </c>
    </row>
    <row r="425" spans="1:12" x14ac:dyDescent="0.25">
      <c r="A425" s="4" t="s">
        <v>31</v>
      </c>
      <c r="B425" s="14">
        <f>B90</f>
        <v>35073698.477436028</v>
      </c>
      <c r="C425" s="14">
        <f t="shared" ref="C425:K425" si="362">C90</f>
        <v>35073698.477436028</v>
      </c>
      <c r="D425" s="14">
        <f t="shared" si="362"/>
        <v>35073698.477436028</v>
      </c>
      <c r="E425" s="14">
        <f t="shared" si="362"/>
        <v>35073698.477436028</v>
      </c>
      <c r="F425" s="14">
        <f t="shared" si="362"/>
        <v>35073698.477436028</v>
      </c>
      <c r="G425" s="14">
        <f t="shared" si="362"/>
        <v>35073698.477436028</v>
      </c>
      <c r="H425" s="14">
        <f t="shared" si="362"/>
        <v>35073698.477436028</v>
      </c>
      <c r="I425" s="14">
        <f t="shared" si="362"/>
        <v>35073698.477436028</v>
      </c>
      <c r="J425" s="14">
        <f t="shared" si="362"/>
        <v>35073698.477436028</v>
      </c>
      <c r="K425" s="14">
        <f t="shared" si="362"/>
        <v>35073698.477436028</v>
      </c>
      <c r="L425" s="5">
        <f t="shared" ref="L425:L429" si="363">AVERAGE(B425:K425)</f>
        <v>35073698.477436021</v>
      </c>
    </row>
    <row r="426" spans="1:12" x14ac:dyDescent="0.25">
      <c r="A426" s="4" t="s">
        <v>50</v>
      </c>
      <c r="B426" s="14">
        <f>B149</f>
        <v>35412868.733261593</v>
      </c>
      <c r="C426" s="14">
        <f t="shared" ref="C426:K426" si="364">C149</f>
        <v>35412868.733261593</v>
      </c>
      <c r="D426" s="14">
        <f t="shared" si="364"/>
        <v>35412868.733261593</v>
      </c>
      <c r="E426" s="14">
        <f t="shared" si="364"/>
        <v>35412868.733261593</v>
      </c>
      <c r="F426" s="14">
        <f t="shared" si="364"/>
        <v>35412868.733261593</v>
      </c>
      <c r="G426" s="14">
        <f t="shared" si="364"/>
        <v>35412868.733261593</v>
      </c>
      <c r="H426" s="14">
        <f t="shared" si="364"/>
        <v>35412868.733261593</v>
      </c>
      <c r="I426" s="14">
        <f t="shared" si="364"/>
        <v>35412868.733261593</v>
      </c>
      <c r="J426" s="14">
        <f t="shared" si="364"/>
        <v>35412868.733261593</v>
      </c>
      <c r="K426" s="14">
        <f t="shared" si="364"/>
        <v>35412868.733261593</v>
      </c>
      <c r="L426" s="5">
        <f t="shared" si="363"/>
        <v>35412868.733261593</v>
      </c>
    </row>
    <row r="427" spans="1:12" x14ac:dyDescent="0.25">
      <c r="A427" s="4" t="s">
        <v>33</v>
      </c>
      <c r="B427" s="14">
        <f>B208</f>
        <v>68825463.581668153</v>
      </c>
      <c r="C427" s="14">
        <f t="shared" ref="C427:K427" si="365">C208</f>
        <v>68825463.581668153</v>
      </c>
      <c r="D427" s="14">
        <f t="shared" si="365"/>
        <v>68825463.581668153</v>
      </c>
      <c r="E427" s="14">
        <f t="shared" si="365"/>
        <v>68825463.581668153</v>
      </c>
      <c r="F427" s="14">
        <f t="shared" si="365"/>
        <v>68825463.581668153</v>
      </c>
      <c r="G427" s="14">
        <f t="shared" si="365"/>
        <v>68825463.581668153</v>
      </c>
      <c r="H427" s="14">
        <f t="shared" si="365"/>
        <v>68825463.581668153</v>
      </c>
      <c r="I427" s="14">
        <f t="shared" si="365"/>
        <v>68825463.581668153</v>
      </c>
      <c r="J427" s="14">
        <f t="shared" si="365"/>
        <v>68825463.581668153</v>
      </c>
      <c r="K427" s="14">
        <f t="shared" si="365"/>
        <v>68825463.581668153</v>
      </c>
      <c r="L427" s="5">
        <f t="shared" si="363"/>
        <v>68825463.581668153</v>
      </c>
    </row>
    <row r="428" spans="1:12" x14ac:dyDescent="0.25">
      <c r="A428" s="4" t="s">
        <v>32</v>
      </c>
      <c r="B428" s="14">
        <f>B267</f>
        <v>28700159.364273462</v>
      </c>
      <c r="C428" s="14">
        <f t="shared" ref="C428:K428" si="366">C267</f>
        <v>28700159.364273462</v>
      </c>
      <c r="D428" s="14">
        <f t="shared" si="366"/>
        <v>28700159.364273462</v>
      </c>
      <c r="E428" s="14">
        <f t="shared" si="366"/>
        <v>28700159.364273462</v>
      </c>
      <c r="F428" s="14">
        <f t="shared" si="366"/>
        <v>28700159.364273462</v>
      </c>
      <c r="G428" s="14">
        <f t="shared" si="366"/>
        <v>28700159.364273462</v>
      </c>
      <c r="H428" s="14">
        <f t="shared" si="366"/>
        <v>28700159.364273462</v>
      </c>
      <c r="I428" s="14">
        <f t="shared" si="366"/>
        <v>28700159.364273462</v>
      </c>
      <c r="J428" s="14">
        <f t="shared" si="366"/>
        <v>28700159.364273462</v>
      </c>
      <c r="K428" s="14">
        <f t="shared" si="366"/>
        <v>28700159.364273462</v>
      </c>
      <c r="L428" s="5">
        <f t="shared" si="363"/>
        <v>28700159.364273466</v>
      </c>
    </row>
    <row r="429" spans="1:12" x14ac:dyDescent="0.25">
      <c r="A429" s="4" t="s">
        <v>34</v>
      </c>
      <c r="B429" s="14">
        <f>B326</f>
        <v>41409472.306644395</v>
      </c>
      <c r="C429" s="14">
        <f t="shared" ref="C429:K429" si="367">C326</f>
        <v>41409472.306644395</v>
      </c>
      <c r="D429" s="14">
        <f t="shared" si="367"/>
        <v>41409472.306644395</v>
      </c>
      <c r="E429" s="14">
        <f t="shared" si="367"/>
        <v>41409472.306644395</v>
      </c>
      <c r="F429" s="14">
        <f t="shared" si="367"/>
        <v>41409472.306644395</v>
      </c>
      <c r="G429" s="14">
        <f t="shared" si="367"/>
        <v>41409472.306644395</v>
      </c>
      <c r="H429" s="14">
        <f t="shared" si="367"/>
        <v>41409472.306644395</v>
      </c>
      <c r="I429" s="14">
        <f t="shared" si="367"/>
        <v>41409472.306644395</v>
      </c>
      <c r="J429" s="14">
        <f t="shared" si="367"/>
        <v>41409472.306644395</v>
      </c>
      <c r="K429" s="14">
        <f t="shared" si="367"/>
        <v>41409472.306644395</v>
      </c>
      <c r="L429" s="5">
        <f t="shared" si="363"/>
        <v>41409472.306644388</v>
      </c>
    </row>
    <row r="431" spans="1:12" ht="30" x14ac:dyDescent="0.25">
      <c r="A431" s="15" t="s">
        <v>57</v>
      </c>
      <c r="B431" s="12" t="str">
        <f>'Summary dashboard'!C4</f>
        <v>2023</v>
      </c>
      <c r="C431" s="12">
        <f t="shared" ref="C431" si="368">B431+1</f>
        <v>2024</v>
      </c>
      <c r="D431" s="12">
        <f t="shared" ref="D431" si="369">C431+1</f>
        <v>2025</v>
      </c>
      <c r="E431" s="12">
        <f t="shared" ref="E431" si="370">D431+1</f>
        <v>2026</v>
      </c>
      <c r="F431" s="12">
        <f t="shared" ref="F431" si="371">E431+1</f>
        <v>2027</v>
      </c>
      <c r="G431" s="12">
        <f t="shared" ref="G431" si="372">F431+1</f>
        <v>2028</v>
      </c>
      <c r="H431" s="12">
        <f t="shared" ref="H431" si="373">G431+1</f>
        <v>2029</v>
      </c>
      <c r="I431" s="12">
        <f t="shared" ref="I431" si="374">H431+1</f>
        <v>2030</v>
      </c>
      <c r="J431" s="12">
        <f t="shared" ref="J431" si="375">I431+1</f>
        <v>2031</v>
      </c>
      <c r="K431" s="12">
        <f t="shared" ref="K431" si="376">J431+1</f>
        <v>2032</v>
      </c>
      <c r="L431" s="1" t="s">
        <v>28</v>
      </c>
    </row>
    <row r="432" spans="1:12" x14ac:dyDescent="0.25">
      <c r="A432" s="4" t="s">
        <v>42</v>
      </c>
      <c r="B432" s="14">
        <f>B46</f>
        <v>27061834.936173961</v>
      </c>
      <c r="C432" s="14">
        <f t="shared" ref="C432:K432" si="377">C46</f>
        <v>27061834.936173961</v>
      </c>
      <c r="D432" s="14">
        <f t="shared" si="377"/>
        <v>27061834.936173961</v>
      </c>
      <c r="E432" s="14">
        <f t="shared" si="377"/>
        <v>27061834.936173961</v>
      </c>
      <c r="F432" s="14">
        <f t="shared" si="377"/>
        <v>27061834.936173961</v>
      </c>
      <c r="G432" s="14">
        <f t="shared" si="377"/>
        <v>27061834.936173961</v>
      </c>
      <c r="H432" s="14">
        <f t="shared" si="377"/>
        <v>27061834.936173961</v>
      </c>
      <c r="I432" s="14">
        <f t="shared" si="377"/>
        <v>27061834.936173961</v>
      </c>
      <c r="J432" s="14">
        <f t="shared" si="377"/>
        <v>27061834.936173961</v>
      </c>
      <c r="K432" s="14">
        <f t="shared" si="377"/>
        <v>27061834.936173961</v>
      </c>
      <c r="L432" s="5">
        <f>AVERAGE(B432:K432)</f>
        <v>27061834.936173968</v>
      </c>
    </row>
    <row r="433" spans="1:14" x14ac:dyDescent="0.25">
      <c r="A433" s="4" t="s">
        <v>31</v>
      </c>
      <c r="B433" s="14">
        <f>B105</f>
        <v>20245226.485526897</v>
      </c>
      <c r="C433" s="14">
        <f t="shared" ref="C433:K433" si="378">C105</f>
        <v>20245226.485526897</v>
      </c>
      <c r="D433" s="14">
        <f t="shared" si="378"/>
        <v>20245226.485526897</v>
      </c>
      <c r="E433" s="14">
        <f t="shared" si="378"/>
        <v>20245226.485526897</v>
      </c>
      <c r="F433" s="14">
        <f t="shared" si="378"/>
        <v>20245226.485526897</v>
      </c>
      <c r="G433" s="14">
        <f t="shared" si="378"/>
        <v>20245226.485526897</v>
      </c>
      <c r="H433" s="14">
        <f t="shared" si="378"/>
        <v>20245226.485526897</v>
      </c>
      <c r="I433" s="14">
        <f t="shared" si="378"/>
        <v>20245226.485526897</v>
      </c>
      <c r="J433" s="14">
        <f t="shared" si="378"/>
        <v>20245226.485526897</v>
      </c>
      <c r="K433" s="14">
        <f t="shared" si="378"/>
        <v>20245226.485526897</v>
      </c>
      <c r="L433" s="5">
        <f t="shared" ref="L433:L437" si="379">AVERAGE(B433:K433)</f>
        <v>20245226.485526893</v>
      </c>
    </row>
    <row r="434" spans="1:14" x14ac:dyDescent="0.25">
      <c r="A434" s="4" t="s">
        <v>50</v>
      </c>
      <c r="B434" s="14">
        <f>B164</f>
        <v>20943707.473728739</v>
      </c>
      <c r="C434" s="14">
        <f t="shared" ref="C434:K434" si="380">C164</f>
        <v>20943707.473728739</v>
      </c>
      <c r="D434" s="14">
        <f t="shared" si="380"/>
        <v>20943707.473728739</v>
      </c>
      <c r="E434" s="14">
        <f t="shared" si="380"/>
        <v>20943707.473728739</v>
      </c>
      <c r="F434" s="14">
        <f t="shared" si="380"/>
        <v>20943707.473728739</v>
      </c>
      <c r="G434" s="14">
        <f t="shared" si="380"/>
        <v>20943707.473728739</v>
      </c>
      <c r="H434" s="14">
        <f t="shared" si="380"/>
        <v>20943707.473728739</v>
      </c>
      <c r="I434" s="14">
        <f t="shared" si="380"/>
        <v>20943707.473728739</v>
      </c>
      <c r="J434" s="14">
        <f t="shared" si="380"/>
        <v>20943707.473728739</v>
      </c>
      <c r="K434" s="14">
        <f t="shared" si="380"/>
        <v>20943707.473728739</v>
      </c>
      <c r="L434" s="5">
        <f t="shared" si="379"/>
        <v>20943707.473728742</v>
      </c>
    </row>
    <row r="435" spans="1:14" x14ac:dyDescent="0.25">
      <c r="A435" s="4" t="s">
        <v>33</v>
      </c>
      <c r="B435" s="14">
        <f>B223</f>
        <v>39011144.200655207</v>
      </c>
      <c r="C435" s="14">
        <f t="shared" ref="C435:K435" si="381">C223</f>
        <v>39011144.200655207</v>
      </c>
      <c r="D435" s="14">
        <f t="shared" si="381"/>
        <v>39011144.200655207</v>
      </c>
      <c r="E435" s="14">
        <f t="shared" si="381"/>
        <v>39011144.200655207</v>
      </c>
      <c r="F435" s="14">
        <f t="shared" si="381"/>
        <v>39011144.200655207</v>
      </c>
      <c r="G435" s="14">
        <f t="shared" si="381"/>
        <v>39011144.200655207</v>
      </c>
      <c r="H435" s="14">
        <f t="shared" si="381"/>
        <v>39011144.200655207</v>
      </c>
      <c r="I435" s="14">
        <f t="shared" si="381"/>
        <v>39011144.200655207</v>
      </c>
      <c r="J435" s="14">
        <f t="shared" si="381"/>
        <v>39011144.200655207</v>
      </c>
      <c r="K435" s="14">
        <f t="shared" si="381"/>
        <v>39011144.200655207</v>
      </c>
      <c r="L435" s="5">
        <f t="shared" si="379"/>
        <v>39011144.200655214</v>
      </c>
    </row>
    <row r="436" spans="1:14" x14ac:dyDescent="0.25">
      <c r="A436" s="4" t="s">
        <v>32</v>
      </c>
      <c r="B436" s="14">
        <f>B282</f>
        <v>16833082.214453667</v>
      </c>
      <c r="C436" s="14">
        <f t="shared" ref="C436:K436" si="382">C282</f>
        <v>16833082.214453667</v>
      </c>
      <c r="D436" s="14">
        <f t="shared" si="382"/>
        <v>16833082.214453667</v>
      </c>
      <c r="E436" s="14">
        <f t="shared" si="382"/>
        <v>16833082.214453667</v>
      </c>
      <c r="F436" s="14">
        <f t="shared" si="382"/>
        <v>16833082.214453667</v>
      </c>
      <c r="G436" s="14">
        <f t="shared" si="382"/>
        <v>16833082.214453667</v>
      </c>
      <c r="H436" s="14">
        <f t="shared" si="382"/>
        <v>16833082.214453667</v>
      </c>
      <c r="I436" s="14">
        <f t="shared" si="382"/>
        <v>16833082.214453667</v>
      </c>
      <c r="J436" s="14">
        <f t="shared" si="382"/>
        <v>16833082.214453667</v>
      </c>
      <c r="K436" s="14">
        <f t="shared" si="382"/>
        <v>16833082.214453667</v>
      </c>
      <c r="L436" s="5">
        <f t="shared" si="379"/>
        <v>16833082.214453667</v>
      </c>
    </row>
    <row r="437" spans="1:14" x14ac:dyDescent="0.25">
      <c r="A437" s="4" t="s">
        <v>34</v>
      </c>
      <c r="B437" s="14">
        <f>B355</f>
        <v>32472837.786093011</v>
      </c>
      <c r="C437" s="14">
        <f t="shared" ref="C437:K437" si="383">C355</f>
        <v>32472837.786093011</v>
      </c>
      <c r="D437" s="14">
        <f t="shared" si="383"/>
        <v>32472837.786093011</v>
      </c>
      <c r="E437" s="14">
        <f t="shared" si="383"/>
        <v>32472837.786093011</v>
      </c>
      <c r="F437" s="14">
        <f t="shared" si="383"/>
        <v>32472837.786093011</v>
      </c>
      <c r="G437" s="14">
        <f t="shared" si="383"/>
        <v>32472837.786093011</v>
      </c>
      <c r="H437" s="14">
        <f t="shared" si="383"/>
        <v>32472837.786093011</v>
      </c>
      <c r="I437" s="14">
        <f t="shared" si="383"/>
        <v>32472837.786093011</v>
      </c>
      <c r="J437" s="14">
        <f t="shared" si="383"/>
        <v>32472837.786093011</v>
      </c>
      <c r="K437" s="14">
        <f t="shared" si="383"/>
        <v>32472837.786093011</v>
      </c>
      <c r="L437" s="5">
        <f t="shared" si="379"/>
        <v>32472837.786093004</v>
      </c>
    </row>
    <row r="439" spans="1:14" ht="30" x14ac:dyDescent="0.25">
      <c r="A439" s="15" t="s">
        <v>94</v>
      </c>
      <c r="B439" s="12" t="str">
        <f>'Summary dashboard'!C4</f>
        <v>2023</v>
      </c>
      <c r="C439" s="12">
        <f t="shared" ref="C439" si="384">B439+1</f>
        <v>2024</v>
      </c>
      <c r="D439" s="12">
        <f t="shared" ref="D439" si="385">C439+1</f>
        <v>2025</v>
      </c>
      <c r="E439" s="12">
        <f t="shared" ref="E439" si="386">D439+1</f>
        <v>2026</v>
      </c>
      <c r="F439" s="12">
        <f t="shared" ref="F439" si="387">E439+1</f>
        <v>2027</v>
      </c>
      <c r="G439" s="12">
        <f t="shared" ref="G439" si="388">F439+1</f>
        <v>2028</v>
      </c>
      <c r="H439" s="12">
        <f t="shared" ref="H439" si="389">G439+1</f>
        <v>2029</v>
      </c>
      <c r="I439" s="12">
        <f t="shared" ref="I439" si="390">H439+1</f>
        <v>2030</v>
      </c>
      <c r="J439" s="12">
        <f t="shared" ref="J439" si="391">I439+1</f>
        <v>2031</v>
      </c>
      <c r="K439" s="12">
        <f t="shared" ref="K439" si="392">J439+1</f>
        <v>2032</v>
      </c>
      <c r="L439" s="1" t="s">
        <v>28</v>
      </c>
    </row>
    <row r="440" spans="1:14" x14ac:dyDescent="0.25">
      <c r="A440" s="4" t="s">
        <v>42</v>
      </c>
      <c r="B440" s="14">
        <f>B60</f>
        <v>36921380.678860441</v>
      </c>
      <c r="C440" s="14">
        <f t="shared" ref="C440:K440" si="393">C60</f>
        <v>36921380.678860441</v>
      </c>
      <c r="D440" s="14">
        <f t="shared" si="393"/>
        <v>36921380.678860441</v>
      </c>
      <c r="E440" s="14">
        <f t="shared" si="393"/>
        <v>36921380.678860441</v>
      </c>
      <c r="F440" s="14">
        <f t="shared" si="393"/>
        <v>36921380.678860441</v>
      </c>
      <c r="G440" s="14">
        <f t="shared" si="393"/>
        <v>36921380.678860441</v>
      </c>
      <c r="H440" s="14">
        <f t="shared" si="393"/>
        <v>36921380.678860441</v>
      </c>
      <c r="I440" s="14">
        <f t="shared" si="393"/>
        <v>36921380.678860441</v>
      </c>
      <c r="J440" s="14">
        <f t="shared" si="393"/>
        <v>36921380.678860441</v>
      </c>
      <c r="K440" s="14">
        <f t="shared" si="393"/>
        <v>36921380.678860441</v>
      </c>
      <c r="L440" s="5">
        <f>AVERAGE(B440:K440)</f>
        <v>36921380.678860433</v>
      </c>
      <c r="M440" s="14"/>
      <c r="N440" s="14"/>
    </row>
    <row r="441" spans="1:14" x14ac:dyDescent="0.25">
      <c r="A441" s="4" t="s">
        <v>31</v>
      </c>
      <c r="B441" s="14">
        <f>B119</f>
        <v>27659462.481481466</v>
      </c>
      <c r="C441" s="14">
        <f t="shared" ref="C441:K441" si="394">C119</f>
        <v>27659462.481481466</v>
      </c>
      <c r="D441" s="14">
        <f t="shared" si="394"/>
        <v>27659462.481481466</v>
      </c>
      <c r="E441" s="14">
        <f t="shared" si="394"/>
        <v>27659462.481481466</v>
      </c>
      <c r="F441" s="14">
        <f t="shared" si="394"/>
        <v>27659462.481481466</v>
      </c>
      <c r="G441" s="14">
        <f t="shared" si="394"/>
        <v>27659462.481481466</v>
      </c>
      <c r="H441" s="14">
        <f t="shared" si="394"/>
        <v>27659462.481481466</v>
      </c>
      <c r="I441" s="14">
        <f t="shared" si="394"/>
        <v>27659462.481481466</v>
      </c>
      <c r="J441" s="14">
        <f t="shared" si="394"/>
        <v>27659462.481481466</v>
      </c>
      <c r="K441" s="14">
        <f t="shared" si="394"/>
        <v>27659462.481481466</v>
      </c>
      <c r="L441" s="5">
        <f t="shared" ref="L441:L445" si="395">AVERAGE(B441:K441)</f>
        <v>27659462.48148147</v>
      </c>
    </row>
    <row r="442" spans="1:14" x14ac:dyDescent="0.25">
      <c r="A442" s="4" t="s">
        <v>50</v>
      </c>
      <c r="B442" s="14">
        <f>B178</f>
        <v>28178288.103495166</v>
      </c>
      <c r="C442" s="14">
        <f t="shared" ref="C442:K442" si="396">C178</f>
        <v>28178288.103495166</v>
      </c>
      <c r="D442" s="14">
        <f t="shared" si="396"/>
        <v>28178288.103495166</v>
      </c>
      <c r="E442" s="14">
        <f t="shared" si="396"/>
        <v>28178288.103495166</v>
      </c>
      <c r="F442" s="14">
        <f t="shared" si="396"/>
        <v>28178288.103495166</v>
      </c>
      <c r="G442" s="14">
        <f t="shared" si="396"/>
        <v>28178288.103495166</v>
      </c>
      <c r="H442" s="14">
        <f t="shared" si="396"/>
        <v>28178288.103495166</v>
      </c>
      <c r="I442" s="14">
        <f t="shared" si="396"/>
        <v>28178288.103495166</v>
      </c>
      <c r="J442" s="14">
        <f t="shared" si="396"/>
        <v>28178288.103495166</v>
      </c>
      <c r="K442" s="14">
        <f t="shared" si="396"/>
        <v>28178288.103495166</v>
      </c>
      <c r="L442" s="5">
        <f t="shared" si="395"/>
        <v>28178288.103495173</v>
      </c>
    </row>
    <row r="443" spans="1:14" x14ac:dyDescent="0.25">
      <c r="A443" s="4" t="s">
        <v>33</v>
      </c>
      <c r="B443" s="14">
        <f>B237</f>
        <v>53918303.89116168</v>
      </c>
      <c r="C443" s="14">
        <f t="shared" ref="C443:K443" si="397">C237</f>
        <v>53918303.89116168</v>
      </c>
      <c r="D443" s="14">
        <f t="shared" si="397"/>
        <v>53918303.89116168</v>
      </c>
      <c r="E443" s="14">
        <f t="shared" si="397"/>
        <v>53918303.89116168</v>
      </c>
      <c r="F443" s="14">
        <f t="shared" si="397"/>
        <v>53918303.89116168</v>
      </c>
      <c r="G443" s="14">
        <f t="shared" si="397"/>
        <v>53918303.89116168</v>
      </c>
      <c r="H443" s="14">
        <f t="shared" si="397"/>
        <v>53918303.89116168</v>
      </c>
      <c r="I443" s="14">
        <f t="shared" si="397"/>
        <v>53918303.89116168</v>
      </c>
      <c r="J443" s="14">
        <f t="shared" si="397"/>
        <v>53918303.89116168</v>
      </c>
      <c r="K443" s="14">
        <f t="shared" si="397"/>
        <v>53918303.89116168</v>
      </c>
      <c r="L443" s="5">
        <f t="shared" si="395"/>
        <v>53918303.89116168</v>
      </c>
    </row>
    <row r="444" spans="1:14" x14ac:dyDescent="0.25">
      <c r="A444" s="4" t="s">
        <v>32</v>
      </c>
      <c r="B444" s="14">
        <f>B296</f>
        <v>22766620.789363563</v>
      </c>
      <c r="C444" s="14">
        <f t="shared" ref="C444:K444" si="398">C296</f>
        <v>22766620.789363563</v>
      </c>
      <c r="D444" s="14">
        <f t="shared" si="398"/>
        <v>22766620.789363563</v>
      </c>
      <c r="E444" s="14">
        <f t="shared" si="398"/>
        <v>22766620.789363563</v>
      </c>
      <c r="F444" s="14">
        <f t="shared" si="398"/>
        <v>22766620.789363563</v>
      </c>
      <c r="G444" s="14">
        <f t="shared" si="398"/>
        <v>22766620.789363563</v>
      </c>
      <c r="H444" s="14">
        <f t="shared" si="398"/>
        <v>22766620.789363563</v>
      </c>
      <c r="I444" s="14">
        <f t="shared" si="398"/>
        <v>22766620.789363563</v>
      </c>
      <c r="J444" s="14">
        <f t="shared" si="398"/>
        <v>22766620.789363563</v>
      </c>
      <c r="K444" s="14">
        <f t="shared" si="398"/>
        <v>22766620.789363563</v>
      </c>
      <c r="L444" s="5">
        <f t="shared" si="395"/>
        <v>22766620.789363563</v>
      </c>
    </row>
    <row r="445" spans="1:14" x14ac:dyDescent="0.25">
      <c r="A445" s="4" t="s">
        <v>34</v>
      </c>
      <c r="B445" s="14">
        <f>B355</f>
        <v>32472837.786093011</v>
      </c>
      <c r="C445" s="14">
        <f t="shared" ref="C445:K445" si="399">C355</f>
        <v>32472837.786093011</v>
      </c>
      <c r="D445" s="14">
        <f t="shared" si="399"/>
        <v>32472837.786093011</v>
      </c>
      <c r="E445" s="14">
        <f t="shared" si="399"/>
        <v>32472837.786093011</v>
      </c>
      <c r="F445" s="14">
        <f t="shared" si="399"/>
        <v>32472837.786093011</v>
      </c>
      <c r="G445" s="14">
        <f t="shared" si="399"/>
        <v>32472837.786093011</v>
      </c>
      <c r="H445" s="14">
        <f t="shared" si="399"/>
        <v>32472837.786093011</v>
      </c>
      <c r="I445" s="14">
        <f t="shared" si="399"/>
        <v>32472837.786093011</v>
      </c>
      <c r="J445" s="14">
        <f t="shared" si="399"/>
        <v>32472837.786093011</v>
      </c>
      <c r="K445" s="14">
        <f t="shared" si="399"/>
        <v>32472837.786093011</v>
      </c>
      <c r="L445" s="5">
        <f t="shared" si="395"/>
        <v>32472837.786093004</v>
      </c>
    </row>
    <row r="447" spans="1:14" s="3" customFormat="1" x14ac:dyDescent="0.25">
      <c r="A447" s="2" t="s">
        <v>87</v>
      </c>
      <c r="B447" s="2" t="str">
        <f>'CMA dashboard'!B2</f>
        <v>Vaal-Orange CMA</v>
      </c>
    </row>
    <row r="449" spans="1:11" x14ac:dyDescent="0.25">
      <c r="A449" s="1" t="s">
        <v>88</v>
      </c>
      <c r="B449" s="12" t="str">
        <f>'Summary dashboard'!$C$4</f>
        <v>2023</v>
      </c>
      <c r="C449" s="12">
        <f>B449+1</f>
        <v>2024</v>
      </c>
      <c r="D449" s="12">
        <f t="shared" ref="D449:K449" si="400">C449+1</f>
        <v>2025</v>
      </c>
      <c r="E449" s="12">
        <f t="shared" si="400"/>
        <v>2026</v>
      </c>
      <c r="F449" s="12">
        <f t="shared" si="400"/>
        <v>2027</v>
      </c>
      <c r="G449" s="12">
        <f t="shared" si="400"/>
        <v>2028</v>
      </c>
      <c r="H449" s="12">
        <f t="shared" si="400"/>
        <v>2029</v>
      </c>
      <c r="I449" s="12">
        <f t="shared" si="400"/>
        <v>2030</v>
      </c>
      <c r="J449" s="12">
        <f t="shared" si="400"/>
        <v>2031</v>
      </c>
      <c r="K449" s="12">
        <f t="shared" si="400"/>
        <v>2032</v>
      </c>
    </row>
    <row r="450" spans="1:11" x14ac:dyDescent="0.25">
      <c r="A450" s="20" t="s">
        <v>35</v>
      </c>
      <c r="B450" s="14">
        <f>IF($B$447=$A$3,B20,IF($B$447=$A$62,B79,IF($B$447=$A$121,B138,IF($B$447=$A$180,B197,IF($B$447=$A$239,B256,IF($B$447=$A$298,B315))))))</f>
        <v>7416720.6795220003</v>
      </c>
      <c r="C450" s="14">
        <f t="shared" ref="C450:K450" si="401">IF($B$447=$A$3,C20,IF($B$447=$A$62,C79,IF($B$447=$A$121,C138,IF($B$447=$A$180,C197,IF($B$447=$A$239,C256,IF($B$447=$A$298,C315))))))</f>
        <v>7416720.6795220003</v>
      </c>
      <c r="D450" s="14">
        <f t="shared" si="401"/>
        <v>7416720.6795220003</v>
      </c>
      <c r="E450" s="14">
        <f t="shared" si="401"/>
        <v>7416720.6795220003</v>
      </c>
      <c r="F450" s="14">
        <f t="shared" si="401"/>
        <v>7416720.6795220003</v>
      </c>
      <c r="G450" s="14">
        <f t="shared" si="401"/>
        <v>7416720.6795220003</v>
      </c>
      <c r="H450" s="14">
        <f t="shared" si="401"/>
        <v>7416720.6795220003</v>
      </c>
      <c r="I450" s="14">
        <f t="shared" si="401"/>
        <v>7416720.6795220003</v>
      </c>
      <c r="J450" s="14">
        <f t="shared" si="401"/>
        <v>7416720.6795220003</v>
      </c>
      <c r="K450" s="14">
        <f t="shared" si="401"/>
        <v>7416720.6795220003</v>
      </c>
    </row>
    <row r="451" spans="1:11" x14ac:dyDescent="0.25">
      <c r="A451" s="20" t="s">
        <v>36</v>
      </c>
      <c r="B451" s="14">
        <f t="shared" ref="B451:K451" si="402">IF($B$447=$A$3,B21,IF($B$447=$A$62,B80,IF($B$447=$A$121,B139,IF($B$447=$A$180,B198,IF($B$447=$A$239,B257,IF($B$447=$A$298,B316))))))</f>
        <v>2759053.3137000008</v>
      </c>
      <c r="C451" s="14">
        <f t="shared" si="402"/>
        <v>2759053.3137000008</v>
      </c>
      <c r="D451" s="14">
        <f t="shared" si="402"/>
        <v>2759053.3137000008</v>
      </c>
      <c r="E451" s="14">
        <f t="shared" si="402"/>
        <v>2759053.3137000008</v>
      </c>
      <c r="F451" s="14">
        <f t="shared" si="402"/>
        <v>2759053.3137000008</v>
      </c>
      <c r="G451" s="14">
        <f t="shared" si="402"/>
        <v>2759053.3137000008</v>
      </c>
      <c r="H451" s="14">
        <f t="shared" si="402"/>
        <v>2759053.3137000008</v>
      </c>
      <c r="I451" s="14">
        <f t="shared" si="402"/>
        <v>2759053.3137000008</v>
      </c>
      <c r="J451" s="14">
        <f t="shared" si="402"/>
        <v>2759053.3137000008</v>
      </c>
      <c r="K451" s="14">
        <f t="shared" si="402"/>
        <v>2759053.3137000008</v>
      </c>
    </row>
    <row r="452" spans="1:11" x14ac:dyDescent="0.25">
      <c r="A452" s="20" t="s">
        <v>11</v>
      </c>
      <c r="B452" s="14">
        <f t="shared" ref="B452:K452" si="403">IF($B$447=$A$3,B22,IF($B$447=$A$62,B81,IF($B$447=$A$121,B140,IF($B$447=$A$180,B199,IF($B$447=$A$239,B258,IF($B$447=$A$298,B317))))))</f>
        <v>0</v>
      </c>
      <c r="C452" s="14">
        <f t="shared" si="403"/>
        <v>0</v>
      </c>
      <c r="D452" s="14">
        <f t="shared" si="403"/>
        <v>0</v>
      </c>
      <c r="E452" s="14">
        <f t="shared" si="403"/>
        <v>0</v>
      </c>
      <c r="F452" s="14">
        <f t="shared" si="403"/>
        <v>0</v>
      </c>
      <c r="G452" s="14">
        <f t="shared" si="403"/>
        <v>0</v>
      </c>
      <c r="H452" s="14">
        <f t="shared" si="403"/>
        <v>0</v>
      </c>
      <c r="I452" s="14">
        <f t="shared" si="403"/>
        <v>0</v>
      </c>
      <c r="J452" s="14">
        <f t="shared" si="403"/>
        <v>0</v>
      </c>
      <c r="K452" s="14">
        <f t="shared" si="403"/>
        <v>0</v>
      </c>
    </row>
    <row r="453" spans="1:11" x14ac:dyDescent="0.25">
      <c r="A453" s="20" t="s">
        <v>124</v>
      </c>
      <c r="B453" s="14">
        <f t="shared" ref="B453:K453" si="404">IF($B$447=$A$3,B23,IF($B$447=$A$62,B82,IF($B$447=$A$121,B141,IF($B$447=$A$180,B200,IF($B$447=$A$239,B259,IF($B$447=$A$298,B318))))))</f>
        <v>4945191.5240000002</v>
      </c>
      <c r="C453" s="14">
        <f t="shared" si="404"/>
        <v>4945191.5240000002</v>
      </c>
      <c r="D453" s="14">
        <f t="shared" si="404"/>
        <v>4945191.5240000002</v>
      </c>
      <c r="E453" s="14">
        <f t="shared" si="404"/>
        <v>4945191.5240000002</v>
      </c>
      <c r="F453" s="14">
        <f t="shared" si="404"/>
        <v>4945191.5240000002</v>
      </c>
      <c r="G453" s="14">
        <f t="shared" si="404"/>
        <v>4945191.5240000002</v>
      </c>
      <c r="H453" s="14">
        <f t="shared" si="404"/>
        <v>4945191.5240000002</v>
      </c>
      <c r="I453" s="14">
        <f t="shared" si="404"/>
        <v>4945191.5240000002</v>
      </c>
      <c r="J453" s="14">
        <f t="shared" si="404"/>
        <v>4945191.5240000002</v>
      </c>
      <c r="K453" s="14">
        <f t="shared" si="404"/>
        <v>4945191.5240000002</v>
      </c>
    </row>
    <row r="454" spans="1:11" x14ac:dyDescent="0.25">
      <c r="A454" s="20" t="s">
        <v>12</v>
      </c>
      <c r="B454" s="14">
        <f t="shared" ref="B454:K454" si="405">IF($B$447=$A$3,B24,IF($B$447=$A$62,B83,IF($B$447=$A$121,B142,IF($B$447=$A$180,B201,IF($B$447=$A$239,B260,IF($B$447=$A$298,B319))))))</f>
        <v>4633987.658846668</v>
      </c>
      <c r="C454" s="14">
        <f t="shared" si="405"/>
        <v>4633987.658846668</v>
      </c>
      <c r="D454" s="14">
        <f t="shared" si="405"/>
        <v>4633987.658846668</v>
      </c>
      <c r="E454" s="14">
        <f t="shared" si="405"/>
        <v>4633987.658846668</v>
      </c>
      <c r="F454" s="14">
        <f t="shared" si="405"/>
        <v>4633987.658846668</v>
      </c>
      <c r="G454" s="14">
        <f t="shared" si="405"/>
        <v>4633987.658846668</v>
      </c>
      <c r="H454" s="14">
        <f t="shared" si="405"/>
        <v>4633987.658846668</v>
      </c>
      <c r="I454" s="14">
        <f t="shared" si="405"/>
        <v>4633987.658846668</v>
      </c>
      <c r="J454" s="14">
        <f t="shared" si="405"/>
        <v>4633987.658846668</v>
      </c>
      <c r="K454" s="14">
        <f t="shared" si="405"/>
        <v>4633987.658846668</v>
      </c>
    </row>
    <row r="455" spans="1:11" x14ac:dyDescent="0.25">
      <c r="A455" s="20" t="s">
        <v>13</v>
      </c>
      <c r="B455" s="14">
        <f t="shared" ref="B455:K455" si="406">IF($B$447=$A$3,B25,IF($B$447=$A$62,B84,IF($B$447=$A$121,B143,IF($B$447=$A$180,B202,IF($B$447=$A$239,B261,IF($B$447=$A$298,B320))))))</f>
        <v>0</v>
      </c>
      <c r="C455" s="14">
        <f t="shared" si="406"/>
        <v>0</v>
      </c>
      <c r="D455" s="14">
        <f t="shared" si="406"/>
        <v>0</v>
      </c>
      <c r="E455" s="14">
        <f t="shared" si="406"/>
        <v>0</v>
      </c>
      <c r="F455" s="14">
        <f t="shared" si="406"/>
        <v>0</v>
      </c>
      <c r="G455" s="14">
        <f t="shared" si="406"/>
        <v>0</v>
      </c>
      <c r="H455" s="14">
        <f t="shared" si="406"/>
        <v>0</v>
      </c>
      <c r="I455" s="14">
        <f t="shared" si="406"/>
        <v>0</v>
      </c>
      <c r="J455" s="14">
        <f t="shared" si="406"/>
        <v>0</v>
      </c>
      <c r="K455" s="14">
        <f t="shared" si="406"/>
        <v>0</v>
      </c>
    </row>
    <row r="456" spans="1:11" x14ac:dyDescent="0.25">
      <c r="A456" s="20" t="s">
        <v>14</v>
      </c>
      <c r="B456" s="14">
        <f t="shared" ref="B456:K456" si="407">IF($B$447=$A$3,B26,IF($B$447=$A$62,B85,IF($B$447=$A$121,B144,IF($B$447=$A$180,B203,IF($B$447=$A$239,B262,IF($B$447=$A$298,B321))))))</f>
        <v>0</v>
      </c>
      <c r="C456" s="14">
        <f t="shared" si="407"/>
        <v>0</v>
      </c>
      <c r="D456" s="14">
        <f t="shared" si="407"/>
        <v>0</v>
      </c>
      <c r="E456" s="14">
        <f t="shared" si="407"/>
        <v>0</v>
      </c>
      <c r="F456" s="14">
        <f t="shared" si="407"/>
        <v>0</v>
      </c>
      <c r="G456" s="14">
        <f t="shared" si="407"/>
        <v>0</v>
      </c>
      <c r="H456" s="14">
        <f t="shared" si="407"/>
        <v>0</v>
      </c>
      <c r="I456" s="14">
        <f t="shared" si="407"/>
        <v>0</v>
      </c>
      <c r="J456" s="14">
        <f t="shared" si="407"/>
        <v>0</v>
      </c>
      <c r="K456" s="14">
        <f t="shared" si="407"/>
        <v>0</v>
      </c>
    </row>
    <row r="457" spans="1:11" x14ac:dyDescent="0.25">
      <c r="A457" s="20" t="s">
        <v>125</v>
      </c>
      <c r="B457" s="14">
        <f t="shared" ref="B457:K457" si="408">IF($B$447=$A$3,B27,IF($B$447=$A$62,B86,IF($B$447=$A$121,B145,IF($B$447=$A$180,B204,IF($B$447=$A$239,B263,IF($B$447=$A$298,B322))))))</f>
        <v>2212020.5512816031</v>
      </c>
      <c r="C457" s="14">
        <f t="shared" si="408"/>
        <v>2212020.5512816031</v>
      </c>
      <c r="D457" s="14">
        <f t="shared" si="408"/>
        <v>2212020.5512816031</v>
      </c>
      <c r="E457" s="14">
        <f t="shared" si="408"/>
        <v>2212020.5512816031</v>
      </c>
      <c r="F457" s="14">
        <f t="shared" si="408"/>
        <v>2212020.5512816031</v>
      </c>
      <c r="G457" s="14">
        <f t="shared" si="408"/>
        <v>2212020.5512816031</v>
      </c>
      <c r="H457" s="14">
        <f t="shared" si="408"/>
        <v>2212020.5512816031</v>
      </c>
      <c r="I457" s="14">
        <f t="shared" si="408"/>
        <v>2212020.5512816031</v>
      </c>
      <c r="J457" s="14">
        <f t="shared" si="408"/>
        <v>2212020.5512816031</v>
      </c>
      <c r="K457" s="14">
        <f t="shared" si="408"/>
        <v>2212020.5512816031</v>
      </c>
    </row>
    <row r="458" spans="1:11" x14ac:dyDescent="0.25">
      <c r="A458" s="20" t="s">
        <v>37</v>
      </c>
      <c r="B458" s="14">
        <f t="shared" ref="B458:K458" si="409">IF($B$447=$A$3,B28,IF($B$447=$A$62,B87,IF($B$447=$A$121,B146,IF($B$447=$A$180,B205,IF($B$447=$A$239,B264,IF($B$447=$A$298,B323))))))</f>
        <v>23792523.409871995</v>
      </c>
      <c r="C458" s="14">
        <f t="shared" si="409"/>
        <v>23792523.409871995</v>
      </c>
      <c r="D458" s="14">
        <f t="shared" si="409"/>
        <v>23792523.409871995</v>
      </c>
      <c r="E458" s="14">
        <f t="shared" si="409"/>
        <v>23792523.409871995</v>
      </c>
      <c r="F458" s="14">
        <f t="shared" si="409"/>
        <v>23792523.409871995</v>
      </c>
      <c r="G458" s="14">
        <f t="shared" si="409"/>
        <v>23792523.409871995</v>
      </c>
      <c r="H458" s="14">
        <f t="shared" si="409"/>
        <v>23792523.409871995</v>
      </c>
      <c r="I458" s="14">
        <f t="shared" si="409"/>
        <v>23792523.409871995</v>
      </c>
      <c r="J458" s="14">
        <f t="shared" si="409"/>
        <v>23792523.409871995</v>
      </c>
      <c r="K458" s="14">
        <f t="shared" si="409"/>
        <v>23792523.409871995</v>
      </c>
    </row>
    <row r="459" spans="1:11" x14ac:dyDescent="0.25">
      <c r="A459" s="20" t="s">
        <v>38</v>
      </c>
      <c r="B459" s="14">
        <f t="shared" ref="B459:K459" si="410">IF($B$447=$A$3,B29,IF($B$447=$A$62,B88,IF($B$447=$A$121,B147,IF($B$447=$A$180,B206,IF($B$447=$A$239,B265,IF($B$447=$A$298,B324))))))</f>
        <v>1078147.2294458873</v>
      </c>
      <c r="C459" s="14">
        <f t="shared" si="410"/>
        <v>1078147.2294458873</v>
      </c>
      <c r="D459" s="14">
        <f t="shared" si="410"/>
        <v>1078147.2294458873</v>
      </c>
      <c r="E459" s="14">
        <f t="shared" si="410"/>
        <v>1078147.2294458873</v>
      </c>
      <c r="F459" s="14">
        <f t="shared" si="410"/>
        <v>1078147.2294458873</v>
      </c>
      <c r="G459" s="14">
        <f t="shared" si="410"/>
        <v>1078147.2294458873</v>
      </c>
      <c r="H459" s="14">
        <f t="shared" si="410"/>
        <v>1078147.2294458873</v>
      </c>
      <c r="I459" s="14">
        <f t="shared" si="410"/>
        <v>1078147.2294458873</v>
      </c>
      <c r="J459" s="14">
        <f t="shared" si="410"/>
        <v>1078147.2294458873</v>
      </c>
      <c r="K459" s="14">
        <f t="shared" si="410"/>
        <v>1078147.2294458873</v>
      </c>
    </row>
    <row r="460" spans="1:11" x14ac:dyDescent="0.25">
      <c r="A460" s="20" t="s">
        <v>15</v>
      </c>
      <c r="B460" s="60">
        <f t="shared" ref="B460:K460" si="411">IF($B$447=$A$3,B30,IF($B$447=$A$62,B89,IF($B$447=$A$121,B148,IF($B$447=$A$180,B207,IF($B$447=$A$239,B266,IF($B$447=$A$298,B325))))))</f>
        <v>21987819.215</v>
      </c>
      <c r="C460" s="60">
        <f t="shared" si="411"/>
        <v>21987819.215</v>
      </c>
      <c r="D460" s="60">
        <f t="shared" si="411"/>
        <v>21987819.215</v>
      </c>
      <c r="E460" s="60">
        <f t="shared" si="411"/>
        <v>21987819.215</v>
      </c>
      <c r="F460" s="60">
        <f t="shared" si="411"/>
        <v>21987819.215</v>
      </c>
      <c r="G460" s="60">
        <f t="shared" si="411"/>
        <v>21987819.215</v>
      </c>
      <c r="H460" s="60">
        <f t="shared" si="411"/>
        <v>21987819.215</v>
      </c>
      <c r="I460" s="60">
        <f t="shared" si="411"/>
        <v>21987819.215</v>
      </c>
      <c r="J460" s="60">
        <f t="shared" si="411"/>
        <v>21987819.215</v>
      </c>
      <c r="K460" s="60">
        <f t="shared" si="411"/>
        <v>21987819.215</v>
      </c>
    </row>
    <row r="461" spans="1:11" x14ac:dyDescent="0.25">
      <c r="B461" s="14">
        <f>SUM(B450:B460)</f>
        <v>68825463.581668153</v>
      </c>
      <c r="C461" s="14">
        <f t="shared" ref="C461:K461" si="412">SUM(C450:C460)</f>
        <v>68825463.581668153</v>
      </c>
      <c r="D461" s="14">
        <f t="shared" si="412"/>
        <v>68825463.581668153</v>
      </c>
      <c r="E461" s="14">
        <f t="shared" si="412"/>
        <v>68825463.581668153</v>
      </c>
      <c r="F461" s="14">
        <f t="shared" si="412"/>
        <v>68825463.581668153</v>
      </c>
      <c r="G461" s="14">
        <f t="shared" si="412"/>
        <v>68825463.581668153</v>
      </c>
      <c r="H461" s="14">
        <f t="shared" si="412"/>
        <v>68825463.581668153</v>
      </c>
      <c r="I461" s="14">
        <f t="shared" si="412"/>
        <v>68825463.581668153</v>
      </c>
      <c r="J461" s="14">
        <f t="shared" si="412"/>
        <v>68825463.581668153</v>
      </c>
      <c r="K461" s="14">
        <f t="shared" si="412"/>
        <v>68825463.581668153</v>
      </c>
    </row>
    <row r="462" spans="1:11" x14ac:dyDescent="0.25">
      <c r="B462" s="16">
        <f t="shared" ref="B462" si="413">IF($B$447=$A$3,B32,IF($B$447=$A$62,B91,IF($B$447=$A$121,B150,IF($B$447=$A$180,B209,IF($B$447=$A$239,B268,IF($B$447=$A$298,B327))))))</f>
        <v>0.38746035875093027</v>
      </c>
    </row>
    <row r="464" spans="1:11" x14ac:dyDescent="0.25">
      <c r="A464" s="1" t="s">
        <v>89</v>
      </c>
      <c r="B464" s="12" t="str">
        <f>'Summary dashboard'!$C$4</f>
        <v>2023</v>
      </c>
      <c r="C464" s="12">
        <f>B464+1</f>
        <v>2024</v>
      </c>
      <c r="D464" s="12">
        <f t="shared" ref="D464:K464" si="414">C464+1</f>
        <v>2025</v>
      </c>
      <c r="E464" s="12">
        <f t="shared" si="414"/>
        <v>2026</v>
      </c>
      <c r="F464" s="12">
        <f t="shared" si="414"/>
        <v>2027</v>
      </c>
      <c r="G464" s="12">
        <f t="shared" si="414"/>
        <v>2028</v>
      </c>
      <c r="H464" s="12">
        <f t="shared" si="414"/>
        <v>2029</v>
      </c>
      <c r="I464" s="12">
        <f t="shared" si="414"/>
        <v>2030</v>
      </c>
      <c r="J464" s="12">
        <f t="shared" si="414"/>
        <v>2031</v>
      </c>
      <c r="K464" s="12">
        <f t="shared" si="414"/>
        <v>2032</v>
      </c>
    </row>
    <row r="465" spans="1:11" x14ac:dyDescent="0.25">
      <c r="A465" s="20" t="s">
        <v>35</v>
      </c>
      <c r="B465" s="14">
        <f t="shared" ref="B465:K465" si="415">IF($B$447=$A$3,B35,IF($B$447=$A$62,B94,IF($B$447=$A$121,B153,IF($B$447=$A$180,B212,IF($B$447=$A$239,B271,IF($B$447=$A$298,B330))))))</f>
        <v>5490299.7238020003</v>
      </c>
      <c r="C465" s="14">
        <f t="shared" si="415"/>
        <v>5490299.7238020003</v>
      </c>
      <c r="D465" s="14">
        <f t="shared" si="415"/>
        <v>5490299.7238020003</v>
      </c>
      <c r="E465" s="14">
        <f t="shared" si="415"/>
        <v>5490299.7238020003</v>
      </c>
      <c r="F465" s="14">
        <f t="shared" si="415"/>
        <v>5490299.7238020003</v>
      </c>
      <c r="G465" s="14">
        <f t="shared" si="415"/>
        <v>5490299.7238020003</v>
      </c>
      <c r="H465" s="14">
        <f t="shared" si="415"/>
        <v>5490299.7238020003</v>
      </c>
      <c r="I465" s="14">
        <f t="shared" si="415"/>
        <v>5490299.7238020003</v>
      </c>
      <c r="J465" s="14">
        <f t="shared" si="415"/>
        <v>5490299.7238020003</v>
      </c>
      <c r="K465" s="14">
        <f t="shared" si="415"/>
        <v>5490299.7238020003</v>
      </c>
    </row>
    <row r="466" spans="1:11" x14ac:dyDescent="0.25">
      <c r="A466" s="20" t="s">
        <v>36</v>
      </c>
      <c r="B466" s="14">
        <f t="shared" ref="B466:K466" si="416">IF($B$447=$A$3,B36,IF($B$447=$A$62,B95,IF($B$447=$A$121,B154,IF($B$447=$A$180,B213,IF($B$447=$A$239,B272,IF($B$447=$A$298,B331))))))</f>
        <v>919684.43790000014</v>
      </c>
      <c r="C466" s="14">
        <f t="shared" si="416"/>
        <v>919684.43790000014</v>
      </c>
      <c r="D466" s="14">
        <f t="shared" si="416"/>
        <v>919684.43790000014</v>
      </c>
      <c r="E466" s="14">
        <f t="shared" si="416"/>
        <v>919684.43790000014</v>
      </c>
      <c r="F466" s="14">
        <f t="shared" si="416"/>
        <v>919684.43790000014</v>
      </c>
      <c r="G466" s="14">
        <f t="shared" si="416"/>
        <v>919684.43790000014</v>
      </c>
      <c r="H466" s="14">
        <f t="shared" si="416"/>
        <v>919684.43790000014</v>
      </c>
      <c r="I466" s="14">
        <f t="shared" si="416"/>
        <v>919684.43790000014</v>
      </c>
      <c r="J466" s="14">
        <f t="shared" si="416"/>
        <v>919684.43790000014</v>
      </c>
      <c r="K466" s="14">
        <f t="shared" si="416"/>
        <v>919684.43790000014</v>
      </c>
    </row>
    <row r="467" spans="1:11" x14ac:dyDescent="0.25">
      <c r="A467" s="20" t="s">
        <v>11</v>
      </c>
      <c r="B467" s="14">
        <f t="shared" ref="B467:K467" si="417">IF($B$447=$A$3,B37,IF($B$447=$A$62,B96,IF($B$447=$A$121,B155,IF($B$447=$A$180,B214,IF($B$447=$A$239,B273,IF($B$447=$A$298,B332))))))</f>
        <v>0</v>
      </c>
      <c r="C467" s="14">
        <f t="shared" si="417"/>
        <v>0</v>
      </c>
      <c r="D467" s="14">
        <f t="shared" si="417"/>
        <v>0</v>
      </c>
      <c r="E467" s="14">
        <f t="shared" si="417"/>
        <v>0</v>
      </c>
      <c r="F467" s="14">
        <f t="shared" si="417"/>
        <v>0</v>
      </c>
      <c r="G467" s="14">
        <f t="shared" si="417"/>
        <v>0</v>
      </c>
      <c r="H467" s="14">
        <f t="shared" si="417"/>
        <v>0</v>
      </c>
      <c r="I467" s="14">
        <f t="shared" si="417"/>
        <v>0</v>
      </c>
      <c r="J467" s="14">
        <f t="shared" si="417"/>
        <v>0</v>
      </c>
      <c r="K467" s="14">
        <f t="shared" si="417"/>
        <v>0</v>
      </c>
    </row>
    <row r="468" spans="1:11" x14ac:dyDescent="0.25">
      <c r="A468" s="20" t="s">
        <v>124</v>
      </c>
      <c r="B468" s="14">
        <f t="shared" ref="B468:K468" si="418">IF($B$447=$A$3,B38,IF($B$447=$A$62,B97,IF($B$447=$A$121,B156,IF($B$447=$A$180,B215,IF($B$447=$A$239,B274,IF($B$447=$A$298,B333))))))</f>
        <v>3708893.6430000006</v>
      </c>
      <c r="C468" s="14">
        <f t="shared" si="418"/>
        <v>3708893.6430000006</v>
      </c>
      <c r="D468" s="14">
        <f t="shared" si="418"/>
        <v>3708893.6430000006</v>
      </c>
      <c r="E468" s="14">
        <f t="shared" si="418"/>
        <v>3708893.6430000006</v>
      </c>
      <c r="F468" s="14">
        <f t="shared" si="418"/>
        <v>3708893.6430000006</v>
      </c>
      <c r="G468" s="14">
        <f t="shared" si="418"/>
        <v>3708893.6430000006</v>
      </c>
      <c r="H468" s="14">
        <f t="shared" si="418"/>
        <v>3708893.6430000006</v>
      </c>
      <c r="I468" s="14">
        <f t="shared" si="418"/>
        <v>3708893.6430000006</v>
      </c>
      <c r="J468" s="14">
        <f t="shared" si="418"/>
        <v>3708893.6430000006</v>
      </c>
      <c r="K468" s="14">
        <f t="shared" si="418"/>
        <v>3708893.6430000006</v>
      </c>
    </row>
    <row r="469" spans="1:11" x14ac:dyDescent="0.25">
      <c r="A469" s="20" t="s">
        <v>12</v>
      </c>
      <c r="B469" s="14">
        <f t="shared" ref="B469:K469" si="419">IF($B$447=$A$3,B39,IF($B$447=$A$62,B98,IF($B$447=$A$121,B157,IF($B$447=$A$180,B216,IF($B$447=$A$239,B275,IF($B$447=$A$298,B334))))))</f>
        <v>0</v>
      </c>
      <c r="C469" s="14">
        <f t="shared" si="419"/>
        <v>0</v>
      </c>
      <c r="D469" s="14">
        <f t="shared" si="419"/>
        <v>0</v>
      </c>
      <c r="E469" s="14">
        <f t="shared" si="419"/>
        <v>0</v>
      </c>
      <c r="F469" s="14">
        <f t="shared" si="419"/>
        <v>0</v>
      </c>
      <c r="G469" s="14">
        <f t="shared" si="419"/>
        <v>0</v>
      </c>
      <c r="H469" s="14">
        <f t="shared" si="419"/>
        <v>0</v>
      </c>
      <c r="I469" s="14">
        <f t="shared" si="419"/>
        <v>0</v>
      </c>
      <c r="J469" s="14">
        <f t="shared" si="419"/>
        <v>0</v>
      </c>
      <c r="K469" s="14">
        <f t="shared" si="419"/>
        <v>0</v>
      </c>
    </row>
    <row r="470" spans="1:11" x14ac:dyDescent="0.25">
      <c r="A470" s="20" t="s">
        <v>13</v>
      </c>
      <c r="B470" s="14">
        <f t="shared" ref="B470:K470" si="420">IF($B$447=$A$3,B40,IF($B$447=$A$62,B99,IF($B$447=$A$121,B158,IF($B$447=$A$180,B217,IF($B$447=$A$239,B276,IF($B$447=$A$298,B335))))))</f>
        <v>0</v>
      </c>
      <c r="C470" s="14">
        <f t="shared" si="420"/>
        <v>0</v>
      </c>
      <c r="D470" s="14">
        <f t="shared" si="420"/>
        <v>0</v>
      </c>
      <c r="E470" s="14">
        <f t="shared" si="420"/>
        <v>0</v>
      </c>
      <c r="F470" s="14">
        <f t="shared" si="420"/>
        <v>0</v>
      </c>
      <c r="G470" s="14">
        <f t="shared" si="420"/>
        <v>0</v>
      </c>
      <c r="H470" s="14">
        <f t="shared" si="420"/>
        <v>0</v>
      </c>
      <c r="I470" s="14">
        <f t="shared" si="420"/>
        <v>0</v>
      </c>
      <c r="J470" s="14">
        <f t="shared" si="420"/>
        <v>0</v>
      </c>
      <c r="K470" s="14">
        <f t="shared" si="420"/>
        <v>0</v>
      </c>
    </row>
    <row r="471" spans="1:11" x14ac:dyDescent="0.25">
      <c r="A471" s="20" t="s">
        <v>14</v>
      </c>
      <c r="B471" s="14">
        <f t="shared" ref="B471:K471" si="421">IF($B$447=$A$3,B41,IF($B$447=$A$62,B100,IF($B$447=$A$121,B159,IF($B$447=$A$180,B218,IF($B$447=$A$239,B277,IF($B$447=$A$298,B336))))))</f>
        <v>0</v>
      </c>
      <c r="C471" s="14">
        <f t="shared" si="421"/>
        <v>0</v>
      </c>
      <c r="D471" s="14">
        <f t="shared" si="421"/>
        <v>0</v>
      </c>
      <c r="E471" s="14">
        <f t="shared" si="421"/>
        <v>0</v>
      </c>
      <c r="F471" s="14">
        <f t="shared" si="421"/>
        <v>0</v>
      </c>
      <c r="G471" s="14">
        <f t="shared" si="421"/>
        <v>0</v>
      </c>
      <c r="H471" s="14">
        <f t="shared" si="421"/>
        <v>0</v>
      </c>
      <c r="I471" s="14">
        <f t="shared" si="421"/>
        <v>0</v>
      </c>
      <c r="J471" s="14">
        <f t="shared" si="421"/>
        <v>0</v>
      </c>
      <c r="K471" s="14">
        <f t="shared" si="421"/>
        <v>0</v>
      </c>
    </row>
    <row r="472" spans="1:11" x14ac:dyDescent="0.25">
      <c r="A472" s="20" t="s">
        <v>125</v>
      </c>
      <c r="B472" s="14">
        <f t="shared" ref="B472:K472" si="422">IF($B$447=$A$3,B42,IF($B$447=$A$62,B101,IF($B$447=$A$121,B160,IF($B$447=$A$180,B219,IF($B$447=$A$239,B278,IF($B$447=$A$298,B337))))))</f>
        <v>1659015.4134612025</v>
      </c>
      <c r="C472" s="14">
        <f t="shared" si="422"/>
        <v>1659015.4134612025</v>
      </c>
      <c r="D472" s="14">
        <f t="shared" si="422"/>
        <v>1659015.4134612025</v>
      </c>
      <c r="E472" s="14">
        <f t="shared" si="422"/>
        <v>1659015.4134612025</v>
      </c>
      <c r="F472" s="14">
        <f t="shared" si="422"/>
        <v>1659015.4134612025</v>
      </c>
      <c r="G472" s="14">
        <f t="shared" si="422"/>
        <v>1659015.4134612025</v>
      </c>
      <c r="H472" s="14">
        <f t="shared" si="422"/>
        <v>1659015.4134612025</v>
      </c>
      <c r="I472" s="14">
        <f t="shared" si="422"/>
        <v>1659015.4134612025</v>
      </c>
      <c r="J472" s="14">
        <f t="shared" si="422"/>
        <v>1659015.4134612025</v>
      </c>
      <c r="K472" s="14">
        <f t="shared" si="422"/>
        <v>1659015.4134612025</v>
      </c>
    </row>
    <row r="473" spans="1:11" x14ac:dyDescent="0.25">
      <c r="A473" s="20" t="s">
        <v>37</v>
      </c>
      <c r="B473" s="14">
        <f t="shared" ref="B473:K473" si="423">IF($B$447=$A$3,B43,IF($B$447=$A$62,B102,IF($B$447=$A$121,B161,IF($B$447=$A$180,B220,IF($B$447=$A$239,B279,IF($B$447=$A$298,B338))))))</f>
        <v>16239341.374992</v>
      </c>
      <c r="C473" s="14">
        <f t="shared" si="423"/>
        <v>16239341.374992</v>
      </c>
      <c r="D473" s="14">
        <f t="shared" si="423"/>
        <v>16239341.374992</v>
      </c>
      <c r="E473" s="14">
        <f t="shared" si="423"/>
        <v>16239341.374992</v>
      </c>
      <c r="F473" s="14">
        <f t="shared" si="423"/>
        <v>16239341.374992</v>
      </c>
      <c r="G473" s="14">
        <f t="shared" si="423"/>
        <v>16239341.374992</v>
      </c>
      <c r="H473" s="14">
        <f t="shared" si="423"/>
        <v>16239341.374992</v>
      </c>
      <c r="I473" s="14">
        <f t="shared" si="423"/>
        <v>16239341.374992</v>
      </c>
      <c r="J473" s="14">
        <f t="shared" si="423"/>
        <v>16239341.374992</v>
      </c>
      <c r="K473" s="14">
        <f t="shared" si="423"/>
        <v>16239341.374992</v>
      </c>
    </row>
    <row r="474" spans="1:11" x14ac:dyDescent="0.25">
      <c r="A474" s="20" t="s">
        <v>38</v>
      </c>
      <c r="B474" s="14">
        <f t="shared" ref="B474:K474" si="424">IF($B$447=$A$3,B44,IF($B$447=$A$62,B103,IF($B$447=$A$121,B162,IF($B$447=$A$180,B221,IF($B$447=$A$239,B280,IF($B$447=$A$298,B339))))))</f>
        <v>0</v>
      </c>
      <c r="C474" s="14">
        <f t="shared" si="424"/>
        <v>0</v>
      </c>
      <c r="D474" s="14">
        <f t="shared" si="424"/>
        <v>0</v>
      </c>
      <c r="E474" s="14">
        <f t="shared" si="424"/>
        <v>0</v>
      </c>
      <c r="F474" s="14">
        <f t="shared" si="424"/>
        <v>0</v>
      </c>
      <c r="G474" s="14">
        <f t="shared" si="424"/>
        <v>0</v>
      </c>
      <c r="H474" s="14">
        <f t="shared" si="424"/>
        <v>0</v>
      </c>
      <c r="I474" s="14">
        <f t="shared" si="424"/>
        <v>0</v>
      </c>
      <c r="J474" s="14">
        <f t="shared" si="424"/>
        <v>0</v>
      </c>
      <c r="K474" s="14">
        <f t="shared" si="424"/>
        <v>0</v>
      </c>
    </row>
    <row r="475" spans="1:11" x14ac:dyDescent="0.25">
      <c r="A475" s="20" t="s">
        <v>15</v>
      </c>
      <c r="B475" s="60">
        <f t="shared" ref="B475:K475" si="425">IF($B$447=$A$3,B45,IF($B$447=$A$62,B104,IF($B$447=$A$121,B163,IF($B$447=$A$180,B222,IF($B$447=$A$239,B281,IF($B$447=$A$298,B340))))))</f>
        <v>10993909.607499998</v>
      </c>
      <c r="C475" s="60">
        <f t="shared" si="425"/>
        <v>10993909.607499998</v>
      </c>
      <c r="D475" s="60">
        <f t="shared" si="425"/>
        <v>10993909.607499998</v>
      </c>
      <c r="E475" s="60">
        <f t="shared" si="425"/>
        <v>10993909.607499998</v>
      </c>
      <c r="F475" s="60">
        <f t="shared" si="425"/>
        <v>10993909.607499998</v>
      </c>
      <c r="G475" s="60">
        <f t="shared" si="425"/>
        <v>10993909.607499998</v>
      </c>
      <c r="H475" s="60">
        <f t="shared" si="425"/>
        <v>10993909.607499998</v>
      </c>
      <c r="I475" s="60">
        <f t="shared" si="425"/>
        <v>10993909.607499998</v>
      </c>
      <c r="J475" s="60">
        <f t="shared" si="425"/>
        <v>10993909.607499998</v>
      </c>
      <c r="K475" s="60">
        <f t="shared" si="425"/>
        <v>10993909.607499998</v>
      </c>
    </row>
    <row r="476" spans="1:11" x14ac:dyDescent="0.25">
      <c r="B476" s="14">
        <f>SUM(B465:B475)</f>
        <v>39011144.200655207</v>
      </c>
      <c r="C476" s="14">
        <f t="shared" ref="C476" si="426">SUM(C465:C475)</f>
        <v>39011144.200655207</v>
      </c>
      <c r="D476" s="14">
        <f t="shared" ref="D476" si="427">SUM(D465:D475)</f>
        <v>39011144.200655207</v>
      </c>
      <c r="E476" s="14">
        <f t="shared" ref="E476" si="428">SUM(E465:E475)</f>
        <v>39011144.200655207</v>
      </c>
      <c r="F476" s="14">
        <f t="shared" ref="F476" si="429">SUM(F465:F475)</f>
        <v>39011144.200655207</v>
      </c>
      <c r="G476" s="14">
        <f t="shared" ref="G476" si="430">SUM(G465:G475)</f>
        <v>39011144.200655207</v>
      </c>
      <c r="H476" s="14">
        <f t="shared" ref="H476" si="431">SUM(H465:H475)</f>
        <v>39011144.200655207</v>
      </c>
      <c r="I476" s="14">
        <f t="shared" ref="I476" si="432">SUM(I465:I475)</f>
        <v>39011144.200655207</v>
      </c>
      <c r="J476" s="14">
        <f t="shared" ref="J476" si="433">SUM(J465:J475)</f>
        <v>39011144.200655207</v>
      </c>
      <c r="K476" s="14">
        <f t="shared" ref="K476" si="434">SUM(K465:K475)</f>
        <v>39011144.200655207</v>
      </c>
    </row>
    <row r="477" spans="1:11" x14ac:dyDescent="0.25">
      <c r="B477" s="16">
        <f>IF($B$447=$A$3,B47,IF($B$447=$A$62,B106,IF($B$447=$A$121,B165,IF($B$447=$A$180,B224,IF($B$447=$A$239,B283,IF($B$447=$A$298,B342))))))</f>
        <v>0.21961743721979277</v>
      </c>
    </row>
    <row r="478" spans="1:11" x14ac:dyDescent="0.25">
      <c r="A478" s="1" t="s">
        <v>86</v>
      </c>
      <c r="B478" s="12" t="str">
        <f>'Summary dashboard'!$C$4</f>
        <v>2023</v>
      </c>
      <c r="C478" s="12">
        <f>B478+1</f>
        <v>2024</v>
      </c>
      <c r="D478" s="12">
        <f t="shared" ref="D478:K478" si="435">C478+1</f>
        <v>2025</v>
      </c>
      <c r="E478" s="12">
        <f t="shared" si="435"/>
        <v>2026</v>
      </c>
      <c r="F478" s="12">
        <f t="shared" si="435"/>
        <v>2027</v>
      </c>
      <c r="G478" s="12">
        <f t="shared" si="435"/>
        <v>2028</v>
      </c>
      <c r="H478" s="12">
        <f t="shared" si="435"/>
        <v>2029</v>
      </c>
      <c r="I478" s="12">
        <f t="shared" si="435"/>
        <v>2030</v>
      </c>
      <c r="J478" s="12">
        <f t="shared" si="435"/>
        <v>2031</v>
      </c>
      <c r="K478" s="12">
        <f t="shared" si="435"/>
        <v>2032</v>
      </c>
    </row>
    <row r="479" spans="1:11" x14ac:dyDescent="0.25">
      <c r="A479" s="20" t="s">
        <v>35</v>
      </c>
      <c r="B479" s="14">
        <f t="shared" ref="B479:K479" si="436">IF($B$447=$A$3,B49,IF($B$447=$A$62,B108,IF($B$447=$A$121,B167,IF($B$447=$A$180,B226,IF($B$447=$A$239,B285,IF($B$447=$A$298,B344))))))</f>
        <v>6453510.2016620003</v>
      </c>
      <c r="C479" s="14">
        <f t="shared" si="436"/>
        <v>6453510.2016620003</v>
      </c>
      <c r="D479" s="14">
        <f t="shared" si="436"/>
        <v>6453510.2016620003</v>
      </c>
      <c r="E479" s="14">
        <f t="shared" si="436"/>
        <v>6453510.2016620003</v>
      </c>
      <c r="F479" s="14">
        <f t="shared" si="436"/>
        <v>6453510.2016620003</v>
      </c>
      <c r="G479" s="14">
        <f t="shared" si="436"/>
        <v>6453510.2016620003</v>
      </c>
      <c r="H479" s="14">
        <f t="shared" si="436"/>
        <v>6453510.2016620003</v>
      </c>
      <c r="I479" s="14">
        <f t="shared" si="436"/>
        <v>6453510.2016620003</v>
      </c>
      <c r="J479" s="14">
        <f t="shared" si="436"/>
        <v>6453510.2016620003</v>
      </c>
      <c r="K479" s="14">
        <f t="shared" si="436"/>
        <v>6453510.2016620003</v>
      </c>
    </row>
    <row r="480" spans="1:11" x14ac:dyDescent="0.25">
      <c r="A480" s="20" t="s">
        <v>36</v>
      </c>
      <c r="B480" s="14">
        <f t="shared" ref="B480:K480" si="437">IF($B$447=$A$3,B50,IF($B$447=$A$62,B109,IF($B$447=$A$121,B168,IF($B$447=$A$180,B227,IF($B$447=$A$239,B286,IF($B$447=$A$298,B345))))))</f>
        <v>1839368.8758000005</v>
      </c>
      <c r="C480" s="14">
        <f t="shared" si="437"/>
        <v>1839368.8758000005</v>
      </c>
      <c r="D480" s="14">
        <f t="shared" si="437"/>
        <v>1839368.8758000005</v>
      </c>
      <c r="E480" s="14">
        <f t="shared" si="437"/>
        <v>1839368.8758000005</v>
      </c>
      <c r="F480" s="14">
        <f t="shared" si="437"/>
        <v>1839368.8758000005</v>
      </c>
      <c r="G480" s="14">
        <f t="shared" si="437"/>
        <v>1839368.8758000005</v>
      </c>
      <c r="H480" s="14">
        <f t="shared" si="437"/>
        <v>1839368.8758000005</v>
      </c>
      <c r="I480" s="14">
        <f t="shared" si="437"/>
        <v>1839368.8758000005</v>
      </c>
      <c r="J480" s="14">
        <f t="shared" si="437"/>
        <v>1839368.8758000005</v>
      </c>
      <c r="K480" s="14">
        <f t="shared" si="437"/>
        <v>1839368.8758000005</v>
      </c>
    </row>
    <row r="481" spans="1:11" x14ac:dyDescent="0.25">
      <c r="A481" s="20" t="s">
        <v>11</v>
      </c>
      <c r="B481" s="14">
        <f t="shared" ref="B481:K481" si="438">IF($B$447=$A$3,B51,IF($B$447=$A$62,B110,IF($B$447=$A$121,B169,IF($B$447=$A$180,B228,IF($B$447=$A$239,B287,IF($B$447=$A$298,B346))))))</f>
        <v>0</v>
      </c>
      <c r="C481" s="14">
        <f t="shared" si="438"/>
        <v>0</v>
      </c>
      <c r="D481" s="14">
        <f t="shared" si="438"/>
        <v>0</v>
      </c>
      <c r="E481" s="14">
        <f t="shared" si="438"/>
        <v>0</v>
      </c>
      <c r="F481" s="14">
        <f t="shared" si="438"/>
        <v>0</v>
      </c>
      <c r="G481" s="14">
        <f t="shared" si="438"/>
        <v>0</v>
      </c>
      <c r="H481" s="14">
        <f t="shared" si="438"/>
        <v>0</v>
      </c>
      <c r="I481" s="14">
        <f t="shared" si="438"/>
        <v>0</v>
      </c>
      <c r="J481" s="14">
        <f t="shared" si="438"/>
        <v>0</v>
      </c>
      <c r="K481" s="14">
        <f t="shared" si="438"/>
        <v>0</v>
      </c>
    </row>
    <row r="482" spans="1:11" x14ac:dyDescent="0.25">
      <c r="A482" s="20" t="s">
        <v>124</v>
      </c>
      <c r="B482" s="14">
        <f t="shared" ref="B482:K482" si="439">IF($B$447=$A$3,B52,IF($B$447=$A$62,B111,IF($B$447=$A$121,B170,IF($B$447=$A$180,B229,IF($B$447=$A$239,B288,IF($B$447=$A$298,B347))))))</f>
        <v>4327042.5835000006</v>
      </c>
      <c r="C482" s="14">
        <f t="shared" si="439"/>
        <v>4327042.5835000006</v>
      </c>
      <c r="D482" s="14">
        <f t="shared" si="439"/>
        <v>4327042.5835000006</v>
      </c>
      <c r="E482" s="14">
        <f t="shared" si="439"/>
        <v>4327042.5835000006</v>
      </c>
      <c r="F482" s="14">
        <f t="shared" si="439"/>
        <v>4327042.5835000006</v>
      </c>
      <c r="G482" s="14">
        <f t="shared" si="439"/>
        <v>4327042.5835000006</v>
      </c>
      <c r="H482" s="14">
        <f t="shared" si="439"/>
        <v>4327042.5835000006</v>
      </c>
      <c r="I482" s="14">
        <f t="shared" si="439"/>
        <v>4327042.5835000006</v>
      </c>
      <c r="J482" s="14">
        <f t="shared" si="439"/>
        <v>4327042.5835000006</v>
      </c>
      <c r="K482" s="14">
        <f t="shared" si="439"/>
        <v>4327042.5835000006</v>
      </c>
    </row>
    <row r="483" spans="1:11" x14ac:dyDescent="0.25">
      <c r="A483" s="20" t="s">
        <v>12</v>
      </c>
      <c r="B483" s="14">
        <f t="shared" ref="B483:K483" si="440">IF($B$447=$A$3,B53,IF($B$447=$A$62,B112,IF($B$447=$A$121,B171,IF($B$447=$A$180,B230,IF($B$447=$A$239,B289,IF($B$447=$A$298,B348))))))</f>
        <v>2316993.829423334</v>
      </c>
      <c r="C483" s="14">
        <f t="shared" si="440"/>
        <v>2316993.829423334</v>
      </c>
      <c r="D483" s="14">
        <f t="shared" si="440"/>
        <v>2316993.829423334</v>
      </c>
      <c r="E483" s="14">
        <f t="shared" si="440"/>
        <v>2316993.829423334</v>
      </c>
      <c r="F483" s="14">
        <f t="shared" si="440"/>
        <v>2316993.829423334</v>
      </c>
      <c r="G483" s="14">
        <f t="shared" si="440"/>
        <v>2316993.829423334</v>
      </c>
      <c r="H483" s="14">
        <f t="shared" si="440"/>
        <v>2316993.829423334</v>
      </c>
      <c r="I483" s="14">
        <f t="shared" si="440"/>
        <v>2316993.829423334</v>
      </c>
      <c r="J483" s="14">
        <f t="shared" si="440"/>
        <v>2316993.829423334</v>
      </c>
      <c r="K483" s="14">
        <f t="shared" si="440"/>
        <v>2316993.829423334</v>
      </c>
    </row>
    <row r="484" spans="1:11" x14ac:dyDescent="0.25">
      <c r="A484" s="20" t="s">
        <v>13</v>
      </c>
      <c r="B484" s="14">
        <f t="shared" ref="B484:K484" si="441">IF($B$447=$A$3,B54,IF($B$447=$A$62,B113,IF($B$447=$A$121,B172,IF($B$447=$A$180,B231,IF($B$447=$A$239,B290,IF($B$447=$A$298,B349))))))</f>
        <v>0</v>
      </c>
      <c r="C484" s="14">
        <f t="shared" si="441"/>
        <v>0</v>
      </c>
      <c r="D484" s="14">
        <f t="shared" si="441"/>
        <v>0</v>
      </c>
      <c r="E484" s="14">
        <f t="shared" si="441"/>
        <v>0</v>
      </c>
      <c r="F484" s="14">
        <f t="shared" si="441"/>
        <v>0</v>
      </c>
      <c r="G484" s="14">
        <f t="shared" si="441"/>
        <v>0</v>
      </c>
      <c r="H484" s="14">
        <f t="shared" si="441"/>
        <v>0</v>
      </c>
      <c r="I484" s="14">
        <f t="shared" si="441"/>
        <v>0</v>
      </c>
      <c r="J484" s="14">
        <f t="shared" si="441"/>
        <v>0</v>
      </c>
      <c r="K484" s="14">
        <f t="shared" si="441"/>
        <v>0</v>
      </c>
    </row>
    <row r="485" spans="1:11" x14ac:dyDescent="0.25">
      <c r="A485" s="20" t="s">
        <v>14</v>
      </c>
      <c r="B485" s="14">
        <f t="shared" ref="B485:K485" si="442">IF($B$447=$A$3,B55,IF($B$447=$A$62,B114,IF($B$447=$A$121,B173,IF($B$447=$A$180,B232,IF($B$447=$A$239,B291,IF($B$447=$A$298,B350))))))</f>
        <v>0</v>
      </c>
      <c r="C485" s="14">
        <f t="shared" si="442"/>
        <v>0</v>
      </c>
      <c r="D485" s="14">
        <f t="shared" si="442"/>
        <v>0</v>
      </c>
      <c r="E485" s="14">
        <f t="shared" si="442"/>
        <v>0</v>
      </c>
      <c r="F485" s="14">
        <f t="shared" si="442"/>
        <v>0</v>
      </c>
      <c r="G485" s="14">
        <f t="shared" si="442"/>
        <v>0</v>
      </c>
      <c r="H485" s="14">
        <f t="shared" si="442"/>
        <v>0</v>
      </c>
      <c r="I485" s="14">
        <f t="shared" si="442"/>
        <v>0</v>
      </c>
      <c r="J485" s="14">
        <f t="shared" si="442"/>
        <v>0</v>
      </c>
      <c r="K485" s="14">
        <f t="shared" si="442"/>
        <v>0</v>
      </c>
    </row>
    <row r="486" spans="1:11" x14ac:dyDescent="0.25">
      <c r="A486" s="20" t="s">
        <v>125</v>
      </c>
      <c r="B486" s="14">
        <f t="shared" ref="B486:K486" si="443">IF($B$447=$A$3,B56,IF($B$447=$A$62,B115,IF($B$447=$A$121,B174,IF($B$447=$A$180,B233,IF($B$447=$A$239,B292,IF($B$447=$A$298,B351))))))</f>
        <v>1935517.9823714029</v>
      </c>
      <c r="C486" s="14">
        <f t="shared" si="443"/>
        <v>1935517.9823714029</v>
      </c>
      <c r="D486" s="14">
        <f t="shared" si="443"/>
        <v>1935517.9823714029</v>
      </c>
      <c r="E486" s="14">
        <f t="shared" si="443"/>
        <v>1935517.9823714029</v>
      </c>
      <c r="F486" s="14">
        <f t="shared" si="443"/>
        <v>1935517.9823714029</v>
      </c>
      <c r="G486" s="14">
        <f t="shared" si="443"/>
        <v>1935517.9823714029</v>
      </c>
      <c r="H486" s="14">
        <f t="shared" si="443"/>
        <v>1935517.9823714029</v>
      </c>
      <c r="I486" s="14">
        <f t="shared" si="443"/>
        <v>1935517.9823714029</v>
      </c>
      <c r="J486" s="14">
        <f t="shared" si="443"/>
        <v>1935517.9823714029</v>
      </c>
      <c r="K486" s="14">
        <f t="shared" si="443"/>
        <v>1935517.9823714029</v>
      </c>
    </row>
    <row r="487" spans="1:11" x14ac:dyDescent="0.25">
      <c r="A487" s="20" t="s">
        <v>37</v>
      </c>
      <c r="B487" s="14">
        <f t="shared" ref="B487:K487" si="444">IF($B$447=$A$3,B57,IF($B$447=$A$62,B116,IF($B$447=$A$121,B175,IF($B$447=$A$180,B234,IF($B$447=$A$239,B293,IF($B$447=$A$298,B352))))))</f>
        <v>20015932.392431997</v>
      </c>
      <c r="C487" s="14">
        <f t="shared" si="444"/>
        <v>20015932.392431997</v>
      </c>
      <c r="D487" s="14">
        <f t="shared" si="444"/>
        <v>20015932.392431997</v>
      </c>
      <c r="E487" s="14">
        <f t="shared" si="444"/>
        <v>20015932.392431997</v>
      </c>
      <c r="F487" s="14">
        <f t="shared" si="444"/>
        <v>20015932.392431997</v>
      </c>
      <c r="G487" s="14">
        <f t="shared" si="444"/>
        <v>20015932.392431997</v>
      </c>
      <c r="H487" s="14">
        <f t="shared" si="444"/>
        <v>20015932.392431997</v>
      </c>
      <c r="I487" s="14">
        <f t="shared" si="444"/>
        <v>20015932.392431997</v>
      </c>
      <c r="J487" s="14">
        <f t="shared" si="444"/>
        <v>20015932.392431997</v>
      </c>
      <c r="K487" s="14">
        <f t="shared" si="444"/>
        <v>20015932.392431997</v>
      </c>
    </row>
    <row r="488" spans="1:11" x14ac:dyDescent="0.25">
      <c r="A488" s="20" t="s">
        <v>38</v>
      </c>
      <c r="B488" s="14">
        <f t="shared" ref="B488:K488" si="445">IF($B$447=$A$3,B58,IF($B$447=$A$62,B117,IF($B$447=$A$121,B176,IF($B$447=$A$180,B235,IF($B$447=$A$239,B294,IF($B$447=$A$298,B353))))))</f>
        <v>539073.61472294363</v>
      </c>
      <c r="C488" s="14">
        <f t="shared" si="445"/>
        <v>539073.61472294363</v>
      </c>
      <c r="D488" s="14">
        <f t="shared" si="445"/>
        <v>539073.61472294363</v>
      </c>
      <c r="E488" s="14">
        <f t="shared" si="445"/>
        <v>539073.61472294363</v>
      </c>
      <c r="F488" s="14">
        <f t="shared" si="445"/>
        <v>539073.61472294363</v>
      </c>
      <c r="G488" s="14">
        <f t="shared" si="445"/>
        <v>539073.61472294363</v>
      </c>
      <c r="H488" s="14">
        <f t="shared" si="445"/>
        <v>539073.61472294363</v>
      </c>
      <c r="I488" s="14">
        <f t="shared" si="445"/>
        <v>539073.61472294363</v>
      </c>
      <c r="J488" s="14">
        <f t="shared" si="445"/>
        <v>539073.61472294363</v>
      </c>
      <c r="K488" s="14">
        <f t="shared" si="445"/>
        <v>539073.61472294363</v>
      </c>
    </row>
    <row r="489" spans="1:11" x14ac:dyDescent="0.25">
      <c r="A489" s="20" t="s">
        <v>15</v>
      </c>
      <c r="B489" s="60">
        <f t="shared" ref="B489:K489" si="446">IF($B$447=$A$3,B59,IF($B$447=$A$62,B118,IF($B$447=$A$121,B177,IF($B$447=$A$180,B236,IF($B$447=$A$239,B295,IF($B$447=$A$298,B354))))))</f>
        <v>16490864.411249999</v>
      </c>
      <c r="C489" s="60">
        <f t="shared" si="446"/>
        <v>16490864.411249999</v>
      </c>
      <c r="D489" s="60">
        <f t="shared" si="446"/>
        <v>16490864.411249999</v>
      </c>
      <c r="E489" s="60">
        <f t="shared" si="446"/>
        <v>16490864.411249999</v>
      </c>
      <c r="F489" s="60">
        <f t="shared" si="446"/>
        <v>16490864.411249999</v>
      </c>
      <c r="G489" s="60">
        <f t="shared" si="446"/>
        <v>16490864.411249999</v>
      </c>
      <c r="H489" s="60">
        <f t="shared" si="446"/>
        <v>16490864.411249999</v>
      </c>
      <c r="I489" s="60">
        <f t="shared" si="446"/>
        <v>16490864.411249999</v>
      </c>
      <c r="J489" s="60">
        <f t="shared" si="446"/>
        <v>16490864.411249999</v>
      </c>
      <c r="K489" s="60">
        <f t="shared" si="446"/>
        <v>16490864.411249999</v>
      </c>
    </row>
    <row r="490" spans="1:11" x14ac:dyDescent="0.25">
      <c r="B490" s="14">
        <f>SUM(B479:B489)</f>
        <v>53918303.89116168</v>
      </c>
      <c r="C490" s="14">
        <f t="shared" ref="C490" si="447">SUM(C479:C489)</f>
        <v>53918303.89116168</v>
      </c>
      <c r="D490" s="14">
        <f t="shared" ref="D490" si="448">SUM(D479:D489)</f>
        <v>53918303.89116168</v>
      </c>
      <c r="E490" s="14">
        <f t="shared" ref="E490" si="449">SUM(E479:E489)</f>
        <v>53918303.89116168</v>
      </c>
      <c r="F490" s="14">
        <f t="shared" ref="F490" si="450">SUM(F479:F489)</f>
        <v>53918303.89116168</v>
      </c>
      <c r="G490" s="14">
        <f t="shared" ref="G490" si="451">SUM(G479:G489)</f>
        <v>53918303.89116168</v>
      </c>
      <c r="H490" s="14">
        <f t="shared" ref="H490" si="452">SUM(H479:H489)</f>
        <v>53918303.89116168</v>
      </c>
      <c r="I490" s="14">
        <f t="shared" ref="I490" si="453">SUM(I479:I489)</f>
        <v>53918303.89116168</v>
      </c>
      <c r="J490" s="14">
        <f t="shared" ref="J490" si="454">SUM(J479:J489)</f>
        <v>53918303.89116168</v>
      </c>
      <c r="K490" s="14">
        <f t="shared" ref="K490" si="455">SUM(K479:K489)</f>
        <v>53918303.89116168</v>
      </c>
    </row>
    <row r="491" spans="1:11" x14ac:dyDescent="0.25">
      <c r="B491" s="16">
        <f t="shared" ref="B491" si="456">IF($B$447=$A$3,B61,IF($B$447=$A$62,B120,IF($B$447=$A$121,B179,IF($B$447=$A$180,B238,IF($B$447=$A$239,B297,IF($B$447=$A$298,B356))))))</f>
        <v>0.30353889798536149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5C4BE-697C-421C-B5FF-1B8F60DF01C9}">
  <dimension ref="A1:N104"/>
  <sheetViews>
    <sheetView workbookViewId="0"/>
  </sheetViews>
  <sheetFormatPr defaultRowHeight="15" x14ac:dyDescent="0.25"/>
  <cols>
    <col min="1" max="1" width="41" bestFit="1" customWidth="1"/>
    <col min="2" max="2" width="13.85546875" bestFit="1" customWidth="1"/>
    <col min="3" max="3" width="18" bestFit="1" customWidth="1"/>
    <col min="4" max="4" width="14.28515625" bestFit="1" customWidth="1"/>
    <col min="5" max="5" width="19.85546875" bestFit="1" customWidth="1"/>
    <col min="6" max="6" width="21.85546875" bestFit="1" customWidth="1"/>
    <col min="7" max="11" width="13.85546875" bestFit="1" customWidth="1"/>
    <col min="12" max="12" width="12.7109375" bestFit="1" customWidth="1"/>
    <col min="13" max="13" width="12.5703125" customWidth="1"/>
    <col min="14" max="14" width="12.7109375" bestFit="1" customWidth="1"/>
  </cols>
  <sheetData>
    <row r="1" spans="1:11" s="3" customFormat="1" x14ac:dyDescent="0.25">
      <c r="A1" s="2" t="s">
        <v>42</v>
      </c>
    </row>
    <row r="2" spans="1:11" x14ac:dyDescent="0.25">
      <c r="A2" s="1" t="s">
        <v>19</v>
      </c>
      <c r="B2" s="12" t="str">
        <f>'Summary dashboard'!C4</f>
        <v>2023</v>
      </c>
      <c r="C2" s="12">
        <f>B2+1</f>
        <v>2024</v>
      </c>
      <c r="D2" s="12">
        <f t="shared" ref="D2:K2" si="0">C2+1</f>
        <v>2025</v>
      </c>
      <c r="E2" s="12">
        <f t="shared" si="0"/>
        <v>2026</v>
      </c>
      <c r="F2" s="12">
        <f t="shared" si="0"/>
        <v>2027</v>
      </c>
      <c r="G2" s="12">
        <f t="shared" si="0"/>
        <v>2028</v>
      </c>
      <c r="H2" s="12">
        <f t="shared" si="0"/>
        <v>2029</v>
      </c>
      <c r="I2" s="12">
        <f t="shared" si="0"/>
        <v>2030</v>
      </c>
      <c r="J2" s="12">
        <f t="shared" si="0"/>
        <v>2031</v>
      </c>
      <c r="K2" s="12">
        <f t="shared" si="0"/>
        <v>2032</v>
      </c>
    </row>
    <row r="3" spans="1:11" x14ac:dyDescent="0.25">
      <c r="A3" s="4" t="s">
        <v>35</v>
      </c>
      <c r="B3">
        <f>INDEX('CMA function inputs'!$B$17:$L$22,MATCH($A$1,'CMA function inputs'!$A$17:$A$22,0),MATCH(A3,'CMA function inputs'!$B$16:$L$16,0))</f>
        <v>1</v>
      </c>
      <c r="C3">
        <f>IF($B3=1,1,IF(INDEX('CMA function inputs'!$B$25:$L$30,MATCH('Limpopo-Olifants CMA'!$A$1,'CMA function inputs'!$A$25:$A$30,0),MATCH('Limpopo-Olifants CMA'!$A3,'CMA function inputs'!$B$24:$L$24,0))&lt;=C$2,1,0))</f>
        <v>1</v>
      </c>
      <c r="D3">
        <f>IF($B3=1,1,IF(INDEX('CMA function inputs'!$B$25:$L$30,MATCH('Limpopo-Olifants CMA'!$A$1,'CMA function inputs'!$A$25:$A$30,0),MATCH('Limpopo-Olifants CMA'!$A3,'CMA function inputs'!$B$24:$L$24,0))&lt;=D$2,1,0))</f>
        <v>1</v>
      </c>
      <c r="E3">
        <f>IF($B3=1,1,IF(INDEX('CMA function inputs'!$B$25:$L$30,MATCH('Limpopo-Olifants CMA'!$A$1,'CMA function inputs'!$A$25:$A$30,0),MATCH('Limpopo-Olifants CMA'!$A3,'CMA function inputs'!$B$24:$L$24,0))&lt;=E$2,1,0))</f>
        <v>1</v>
      </c>
      <c r="F3">
        <f>IF($B3=1,1,IF(INDEX('CMA function inputs'!$B$25:$L$30,MATCH('Limpopo-Olifants CMA'!$A$1,'CMA function inputs'!$A$25:$A$30,0),MATCH('Limpopo-Olifants CMA'!$A3,'CMA function inputs'!$B$24:$L$24,0))&lt;=F$2,1,0))</f>
        <v>1</v>
      </c>
      <c r="G3">
        <f>IF($B3=1,1,IF(INDEX('CMA function inputs'!$B$25:$L$30,MATCH('Limpopo-Olifants CMA'!$A$1,'CMA function inputs'!$A$25:$A$30,0),MATCH('Limpopo-Olifants CMA'!$A3,'CMA function inputs'!$B$24:$L$24,0))&lt;=G$2,1,0))</f>
        <v>1</v>
      </c>
      <c r="H3">
        <f>IF($B3=1,1,IF(INDEX('CMA function inputs'!$B$25:$L$30,MATCH('Limpopo-Olifants CMA'!$A$1,'CMA function inputs'!$A$25:$A$30,0),MATCH('Limpopo-Olifants CMA'!$A3,'CMA function inputs'!$B$24:$L$24,0))&lt;=H$2,1,0))</f>
        <v>1</v>
      </c>
      <c r="I3">
        <f>IF($B3=1,1,IF(INDEX('CMA function inputs'!$B$25:$L$30,MATCH('Limpopo-Olifants CMA'!$A$1,'CMA function inputs'!$A$25:$A$30,0),MATCH('Limpopo-Olifants CMA'!$A3,'CMA function inputs'!$B$24:$L$24,0))&lt;=I$2,1,0))</f>
        <v>1</v>
      </c>
      <c r="J3">
        <f>IF($B3=1,1,IF(INDEX('CMA function inputs'!$B$25:$L$30,MATCH('Limpopo-Olifants CMA'!$A$1,'CMA function inputs'!$A$25:$A$30,0),MATCH('Limpopo-Olifants CMA'!$A3,'CMA function inputs'!$B$24:$L$24,0))&lt;=J$2,1,0))</f>
        <v>1</v>
      </c>
      <c r="K3">
        <f>IF($B3=1,1,IF(INDEX('CMA function inputs'!$B$25:$L$30,MATCH('Limpopo-Olifants CMA'!$A$1,'CMA function inputs'!$A$25:$A$30,0),MATCH('Limpopo-Olifants CMA'!$A3,'CMA function inputs'!$B$24:$L$24,0))&lt;=K$2,1,0))</f>
        <v>1</v>
      </c>
    </row>
    <row r="4" spans="1:11" x14ac:dyDescent="0.25">
      <c r="A4" s="4" t="s">
        <v>36</v>
      </c>
      <c r="B4">
        <f>INDEX('CMA function inputs'!$B$17:$L$22,MATCH($A$1,'CMA function inputs'!$A$17:$A$22,0),MATCH(A4,'CMA function inputs'!$B$16:$L$16,0))</f>
        <v>1</v>
      </c>
      <c r="C4">
        <f>IF($B4=1,1,IF(INDEX('CMA function inputs'!$B$25:$L$30,MATCH('Limpopo-Olifants CMA'!$A$1,'CMA function inputs'!$A$25:$A$30,0),MATCH('Limpopo-Olifants CMA'!$A4,'CMA function inputs'!$B$24:$L$24,0))&lt;=C$2,1,0))</f>
        <v>1</v>
      </c>
      <c r="D4">
        <f>IF($B4=1,1,IF(INDEX('CMA function inputs'!$B$25:$L$30,MATCH('Limpopo-Olifants CMA'!$A$1,'CMA function inputs'!$A$25:$A$30,0),MATCH('Limpopo-Olifants CMA'!$A4,'CMA function inputs'!$B$24:$L$24,0))&lt;=D$2,1,0))</f>
        <v>1</v>
      </c>
      <c r="E4">
        <f>IF($B4=1,1,IF(INDEX('CMA function inputs'!$B$25:$L$30,MATCH('Limpopo-Olifants CMA'!$A$1,'CMA function inputs'!$A$25:$A$30,0),MATCH('Limpopo-Olifants CMA'!$A4,'CMA function inputs'!$B$24:$L$24,0))&lt;=E$2,1,0))</f>
        <v>1</v>
      </c>
      <c r="F4">
        <f>IF($B4=1,1,IF(INDEX('CMA function inputs'!$B$25:$L$30,MATCH('Limpopo-Olifants CMA'!$A$1,'CMA function inputs'!$A$25:$A$30,0),MATCH('Limpopo-Olifants CMA'!$A4,'CMA function inputs'!$B$24:$L$24,0))&lt;=F$2,1,0))</f>
        <v>1</v>
      </c>
      <c r="G4">
        <f>IF($B4=1,1,IF(INDEX('CMA function inputs'!$B$25:$L$30,MATCH('Limpopo-Olifants CMA'!$A$1,'CMA function inputs'!$A$25:$A$30,0),MATCH('Limpopo-Olifants CMA'!$A4,'CMA function inputs'!$B$24:$L$24,0))&lt;=G$2,1,0))</f>
        <v>1</v>
      </c>
      <c r="H4">
        <f>IF($B4=1,1,IF(INDEX('CMA function inputs'!$B$25:$L$30,MATCH('Limpopo-Olifants CMA'!$A$1,'CMA function inputs'!$A$25:$A$30,0),MATCH('Limpopo-Olifants CMA'!$A4,'CMA function inputs'!$B$24:$L$24,0))&lt;=H$2,1,0))</f>
        <v>1</v>
      </c>
      <c r="I4">
        <f>IF($B4=1,1,IF(INDEX('CMA function inputs'!$B$25:$L$30,MATCH('Limpopo-Olifants CMA'!$A$1,'CMA function inputs'!$A$25:$A$30,0),MATCH('Limpopo-Olifants CMA'!$A4,'CMA function inputs'!$B$24:$L$24,0))&lt;=I$2,1,0))</f>
        <v>1</v>
      </c>
      <c r="J4">
        <f>IF($B4=1,1,IF(INDEX('CMA function inputs'!$B$25:$L$30,MATCH('Limpopo-Olifants CMA'!$A$1,'CMA function inputs'!$A$25:$A$30,0),MATCH('Limpopo-Olifants CMA'!$A4,'CMA function inputs'!$B$24:$L$24,0))&lt;=J$2,1,0))</f>
        <v>1</v>
      </c>
      <c r="K4">
        <f>IF($B4=1,1,IF(INDEX('CMA function inputs'!$B$25:$L$30,MATCH('Limpopo-Olifants CMA'!$A$1,'CMA function inputs'!$A$25:$A$30,0),MATCH('Limpopo-Olifants CMA'!$A4,'CMA function inputs'!$B$24:$L$24,0))&lt;=K$2,1,0))</f>
        <v>1</v>
      </c>
    </row>
    <row r="5" spans="1:11" x14ac:dyDescent="0.25">
      <c r="A5" s="4" t="s">
        <v>11</v>
      </c>
      <c r="B5">
        <f>INDEX('CMA function inputs'!$B$17:$L$22,MATCH($A$1,'CMA function inputs'!$A$17:$A$22,0),MATCH(A5,'CMA function inputs'!$B$16:$L$16,0))</f>
        <v>1</v>
      </c>
      <c r="C5">
        <f>IF($B5=1,1,IF(INDEX('CMA function inputs'!$B$25:$L$30,MATCH('Limpopo-Olifants CMA'!$A$1,'CMA function inputs'!$A$25:$A$30,0),MATCH('Limpopo-Olifants CMA'!$A5,'CMA function inputs'!$B$24:$L$24,0))&lt;=C$2,1,0))</f>
        <v>1</v>
      </c>
      <c r="D5">
        <f>IF($B5=1,1,IF(INDEX('CMA function inputs'!$B$25:$L$30,MATCH('Limpopo-Olifants CMA'!$A$1,'CMA function inputs'!$A$25:$A$30,0),MATCH('Limpopo-Olifants CMA'!$A5,'CMA function inputs'!$B$24:$L$24,0))&lt;=D$2,1,0))</f>
        <v>1</v>
      </c>
      <c r="E5">
        <f>IF($B5=1,1,IF(INDEX('CMA function inputs'!$B$25:$L$30,MATCH('Limpopo-Olifants CMA'!$A$1,'CMA function inputs'!$A$25:$A$30,0),MATCH('Limpopo-Olifants CMA'!$A5,'CMA function inputs'!$B$24:$L$24,0))&lt;=E$2,1,0))</f>
        <v>1</v>
      </c>
      <c r="F5">
        <f>IF($B5=1,1,IF(INDEX('CMA function inputs'!$B$25:$L$30,MATCH('Limpopo-Olifants CMA'!$A$1,'CMA function inputs'!$A$25:$A$30,0),MATCH('Limpopo-Olifants CMA'!$A5,'CMA function inputs'!$B$24:$L$24,0))&lt;=F$2,1,0))</f>
        <v>1</v>
      </c>
      <c r="G5">
        <f>IF($B5=1,1,IF(INDEX('CMA function inputs'!$B$25:$L$30,MATCH('Limpopo-Olifants CMA'!$A$1,'CMA function inputs'!$A$25:$A$30,0),MATCH('Limpopo-Olifants CMA'!$A5,'CMA function inputs'!$B$24:$L$24,0))&lt;=G$2,1,0))</f>
        <v>1</v>
      </c>
      <c r="H5">
        <f>IF($B5=1,1,IF(INDEX('CMA function inputs'!$B$25:$L$30,MATCH('Limpopo-Olifants CMA'!$A$1,'CMA function inputs'!$A$25:$A$30,0),MATCH('Limpopo-Olifants CMA'!$A5,'CMA function inputs'!$B$24:$L$24,0))&lt;=H$2,1,0))</f>
        <v>1</v>
      </c>
      <c r="I5">
        <f>IF($B5=1,1,IF(INDEX('CMA function inputs'!$B$25:$L$30,MATCH('Limpopo-Olifants CMA'!$A$1,'CMA function inputs'!$A$25:$A$30,0),MATCH('Limpopo-Olifants CMA'!$A5,'CMA function inputs'!$B$24:$L$24,0))&lt;=I$2,1,0))</f>
        <v>1</v>
      </c>
      <c r="J5">
        <f>IF($B5=1,1,IF(INDEX('CMA function inputs'!$B$25:$L$30,MATCH('Limpopo-Olifants CMA'!$A$1,'CMA function inputs'!$A$25:$A$30,0),MATCH('Limpopo-Olifants CMA'!$A5,'CMA function inputs'!$B$24:$L$24,0))&lt;=J$2,1,0))</f>
        <v>1</v>
      </c>
      <c r="K5">
        <f>IF($B5=1,1,IF(INDEX('CMA function inputs'!$B$25:$L$30,MATCH('Limpopo-Olifants CMA'!$A$1,'CMA function inputs'!$A$25:$A$30,0),MATCH('Limpopo-Olifants CMA'!$A5,'CMA function inputs'!$B$24:$L$24,0))&lt;=K$2,1,0))</f>
        <v>1</v>
      </c>
    </row>
    <row r="6" spans="1:11" x14ac:dyDescent="0.25">
      <c r="A6" s="4" t="s">
        <v>124</v>
      </c>
      <c r="B6">
        <f>INDEX('CMA function inputs'!$B$17:$L$22,MATCH($A$1,'CMA function inputs'!$A$17:$A$22,0),MATCH(A6,'CMA function inputs'!$B$16:$L$16,0))</f>
        <v>1</v>
      </c>
      <c r="C6">
        <f>IF($B6=1,1,IF(INDEX('CMA function inputs'!$B$25:$L$30,MATCH('Limpopo-Olifants CMA'!$A$1,'CMA function inputs'!$A$25:$A$30,0),MATCH('Limpopo-Olifants CMA'!$A6,'CMA function inputs'!$B$24:$L$24,0))&lt;=C$2,1,0))</f>
        <v>1</v>
      </c>
      <c r="D6">
        <f>IF($B6=1,1,IF(INDEX('CMA function inputs'!$B$25:$L$30,MATCH('Limpopo-Olifants CMA'!$A$1,'CMA function inputs'!$A$25:$A$30,0),MATCH('Limpopo-Olifants CMA'!$A6,'CMA function inputs'!$B$24:$L$24,0))&lt;=D$2,1,0))</f>
        <v>1</v>
      </c>
      <c r="E6">
        <f>IF($B6=1,1,IF(INDEX('CMA function inputs'!$B$25:$L$30,MATCH('Limpopo-Olifants CMA'!$A$1,'CMA function inputs'!$A$25:$A$30,0),MATCH('Limpopo-Olifants CMA'!$A6,'CMA function inputs'!$B$24:$L$24,0))&lt;=E$2,1,0))</f>
        <v>1</v>
      </c>
      <c r="F6">
        <f>IF($B6=1,1,IF(INDEX('CMA function inputs'!$B$25:$L$30,MATCH('Limpopo-Olifants CMA'!$A$1,'CMA function inputs'!$A$25:$A$30,0),MATCH('Limpopo-Olifants CMA'!$A6,'CMA function inputs'!$B$24:$L$24,0))&lt;=F$2,1,0))</f>
        <v>1</v>
      </c>
      <c r="G6">
        <f>IF($B6=1,1,IF(INDEX('CMA function inputs'!$B$25:$L$30,MATCH('Limpopo-Olifants CMA'!$A$1,'CMA function inputs'!$A$25:$A$30,0),MATCH('Limpopo-Olifants CMA'!$A6,'CMA function inputs'!$B$24:$L$24,0))&lt;=G$2,1,0))</f>
        <v>1</v>
      </c>
      <c r="H6">
        <f>IF($B6=1,1,IF(INDEX('CMA function inputs'!$B$25:$L$30,MATCH('Limpopo-Olifants CMA'!$A$1,'CMA function inputs'!$A$25:$A$30,0),MATCH('Limpopo-Olifants CMA'!$A6,'CMA function inputs'!$B$24:$L$24,0))&lt;=H$2,1,0))</f>
        <v>1</v>
      </c>
      <c r="I6">
        <f>IF($B6=1,1,IF(INDEX('CMA function inputs'!$B$25:$L$30,MATCH('Limpopo-Olifants CMA'!$A$1,'CMA function inputs'!$A$25:$A$30,0),MATCH('Limpopo-Olifants CMA'!$A6,'CMA function inputs'!$B$24:$L$24,0))&lt;=I$2,1,0))</f>
        <v>1</v>
      </c>
      <c r="J6">
        <f>IF($B6=1,1,IF(INDEX('CMA function inputs'!$B$25:$L$30,MATCH('Limpopo-Olifants CMA'!$A$1,'CMA function inputs'!$A$25:$A$30,0),MATCH('Limpopo-Olifants CMA'!$A6,'CMA function inputs'!$B$24:$L$24,0))&lt;=J$2,1,0))</f>
        <v>1</v>
      </c>
      <c r="K6">
        <f>IF($B6=1,1,IF(INDEX('CMA function inputs'!$B$25:$L$30,MATCH('Limpopo-Olifants CMA'!$A$1,'CMA function inputs'!$A$25:$A$30,0),MATCH('Limpopo-Olifants CMA'!$A6,'CMA function inputs'!$B$24:$L$24,0))&lt;=K$2,1,0))</f>
        <v>1</v>
      </c>
    </row>
    <row r="7" spans="1:11" x14ac:dyDescent="0.25">
      <c r="A7" s="4" t="s">
        <v>12</v>
      </c>
      <c r="B7">
        <f>INDEX('CMA function inputs'!$B$17:$L$22,MATCH($A$1,'CMA function inputs'!$A$17:$A$22,0),MATCH(A7,'CMA function inputs'!$B$16:$L$16,0))</f>
        <v>1</v>
      </c>
      <c r="C7">
        <f>IF($B7=1,1,IF(INDEX('CMA function inputs'!$B$25:$L$30,MATCH('Limpopo-Olifants CMA'!$A$1,'CMA function inputs'!$A$25:$A$30,0),MATCH('Limpopo-Olifants CMA'!$A7,'CMA function inputs'!$B$24:$L$24,0))&lt;=C$2,1,0))</f>
        <v>1</v>
      </c>
      <c r="D7">
        <f>IF($B7=1,1,IF(INDEX('CMA function inputs'!$B$25:$L$30,MATCH('Limpopo-Olifants CMA'!$A$1,'CMA function inputs'!$A$25:$A$30,0),MATCH('Limpopo-Olifants CMA'!$A7,'CMA function inputs'!$B$24:$L$24,0))&lt;=D$2,1,0))</f>
        <v>1</v>
      </c>
      <c r="E7">
        <f>IF($B7=1,1,IF(INDEX('CMA function inputs'!$B$25:$L$30,MATCH('Limpopo-Olifants CMA'!$A$1,'CMA function inputs'!$A$25:$A$30,0),MATCH('Limpopo-Olifants CMA'!$A7,'CMA function inputs'!$B$24:$L$24,0))&lt;=E$2,1,0))</f>
        <v>1</v>
      </c>
      <c r="F7">
        <f>IF($B7=1,1,IF(INDEX('CMA function inputs'!$B$25:$L$30,MATCH('Limpopo-Olifants CMA'!$A$1,'CMA function inputs'!$A$25:$A$30,0),MATCH('Limpopo-Olifants CMA'!$A7,'CMA function inputs'!$B$24:$L$24,0))&lt;=F$2,1,0))</f>
        <v>1</v>
      </c>
      <c r="G7">
        <f>IF($B7=1,1,IF(INDEX('CMA function inputs'!$B$25:$L$30,MATCH('Limpopo-Olifants CMA'!$A$1,'CMA function inputs'!$A$25:$A$30,0),MATCH('Limpopo-Olifants CMA'!$A7,'CMA function inputs'!$B$24:$L$24,0))&lt;=G$2,1,0))</f>
        <v>1</v>
      </c>
      <c r="H7">
        <f>IF($B7=1,1,IF(INDEX('CMA function inputs'!$B$25:$L$30,MATCH('Limpopo-Olifants CMA'!$A$1,'CMA function inputs'!$A$25:$A$30,0),MATCH('Limpopo-Olifants CMA'!$A7,'CMA function inputs'!$B$24:$L$24,0))&lt;=H$2,1,0))</f>
        <v>1</v>
      </c>
      <c r="I7">
        <f>IF($B7=1,1,IF(INDEX('CMA function inputs'!$B$25:$L$30,MATCH('Limpopo-Olifants CMA'!$A$1,'CMA function inputs'!$A$25:$A$30,0),MATCH('Limpopo-Olifants CMA'!$A7,'CMA function inputs'!$B$24:$L$24,0))&lt;=I$2,1,0))</f>
        <v>1</v>
      </c>
      <c r="J7">
        <f>IF($B7=1,1,IF(INDEX('CMA function inputs'!$B$25:$L$30,MATCH('Limpopo-Olifants CMA'!$A$1,'CMA function inputs'!$A$25:$A$30,0),MATCH('Limpopo-Olifants CMA'!$A7,'CMA function inputs'!$B$24:$L$24,0))&lt;=J$2,1,0))</f>
        <v>1</v>
      </c>
      <c r="K7">
        <f>IF($B7=1,1,IF(INDEX('CMA function inputs'!$B$25:$L$30,MATCH('Limpopo-Olifants CMA'!$A$1,'CMA function inputs'!$A$25:$A$30,0),MATCH('Limpopo-Olifants CMA'!$A7,'CMA function inputs'!$B$24:$L$24,0))&lt;=K$2,1,0))</f>
        <v>1</v>
      </c>
    </row>
    <row r="8" spans="1:11" x14ac:dyDescent="0.25">
      <c r="A8" s="4" t="s">
        <v>13</v>
      </c>
      <c r="B8">
        <f>INDEX('CMA function inputs'!$B$17:$L$22,MATCH($A$1,'CMA function inputs'!$A$17:$A$22,0),MATCH(A8,'CMA function inputs'!$B$16:$L$16,0))</f>
        <v>1</v>
      </c>
      <c r="C8">
        <f>IF($B8=1,1,IF(INDEX('CMA function inputs'!$B$25:$L$30,MATCH('Limpopo-Olifants CMA'!$A$1,'CMA function inputs'!$A$25:$A$30,0),MATCH('Limpopo-Olifants CMA'!$A8,'CMA function inputs'!$B$24:$L$24,0))&lt;=C$2,1,0))</f>
        <v>1</v>
      </c>
      <c r="D8">
        <f>IF($B8=1,1,IF(INDEX('CMA function inputs'!$B$25:$L$30,MATCH('Limpopo-Olifants CMA'!$A$1,'CMA function inputs'!$A$25:$A$30,0),MATCH('Limpopo-Olifants CMA'!$A8,'CMA function inputs'!$B$24:$L$24,0))&lt;=D$2,1,0))</f>
        <v>1</v>
      </c>
      <c r="E8">
        <f>IF($B8=1,1,IF(INDEX('CMA function inputs'!$B$25:$L$30,MATCH('Limpopo-Olifants CMA'!$A$1,'CMA function inputs'!$A$25:$A$30,0),MATCH('Limpopo-Olifants CMA'!$A8,'CMA function inputs'!$B$24:$L$24,0))&lt;=E$2,1,0))</f>
        <v>1</v>
      </c>
      <c r="F8">
        <f>IF($B8=1,1,IF(INDEX('CMA function inputs'!$B$25:$L$30,MATCH('Limpopo-Olifants CMA'!$A$1,'CMA function inputs'!$A$25:$A$30,0),MATCH('Limpopo-Olifants CMA'!$A8,'CMA function inputs'!$B$24:$L$24,0))&lt;=F$2,1,0))</f>
        <v>1</v>
      </c>
      <c r="G8">
        <f>IF($B8=1,1,IF(INDEX('CMA function inputs'!$B$25:$L$30,MATCH('Limpopo-Olifants CMA'!$A$1,'CMA function inputs'!$A$25:$A$30,0),MATCH('Limpopo-Olifants CMA'!$A8,'CMA function inputs'!$B$24:$L$24,0))&lt;=G$2,1,0))</f>
        <v>1</v>
      </c>
      <c r="H8">
        <f>IF($B8=1,1,IF(INDEX('CMA function inputs'!$B$25:$L$30,MATCH('Limpopo-Olifants CMA'!$A$1,'CMA function inputs'!$A$25:$A$30,0),MATCH('Limpopo-Olifants CMA'!$A8,'CMA function inputs'!$B$24:$L$24,0))&lt;=H$2,1,0))</f>
        <v>1</v>
      </c>
      <c r="I8">
        <f>IF($B8=1,1,IF(INDEX('CMA function inputs'!$B$25:$L$30,MATCH('Limpopo-Olifants CMA'!$A$1,'CMA function inputs'!$A$25:$A$30,0),MATCH('Limpopo-Olifants CMA'!$A8,'CMA function inputs'!$B$24:$L$24,0))&lt;=I$2,1,0))</f>
        <v>1</v>
      </c>
      <c r="J8">
        <f>IF($B8=1,1,IF(INDEX('CMA function inputs'!$B$25:$L$30,MATCH('Limpopo-Olifants CMA'!$A$1,'CMA function inputs'!$A$25:$A$30,0),MATCH('Limpopo-Olifants CMA'!$A8,'CMA function inputs'!$B$24:$L$24,0))&lt;=J$2,1,0))</f>
        <v>1</v>
      </c>
      <c r="K8">
        <f>IF($B8=1,1,IF(INDEX('CMA function inputs'!$B$25:$L$30,MATCH('Limpopo-Olifants CMA'!$A$1,'CMA function inputs'!$A$25:$A$30,0),MATCH('Limpopo-Olifants CMA'!$A8,'CMA function inputs'!$B$24:$L$24,0))&lt;=K$2,1,0))</f>
        <v>1</v>
      </c>
    </row>
    <row r="9" spans="1:11" x14ac:dyDescent="0.25">
      <c r="A9" s="4" t="s">
        <v>14</v>
      </c>
      <c r="B9">
        <f>INDEX('CMA function inputs'!$B$17:$L$22,MATCH($A$1,'CMA function inputs'!$A$17:$A$22,0),MATCH(A9,'CMA function inputs'!$B$16:$L$16,0))</f>
        <v>1</v>
      </c>
      <c r="C9">
        <f>IF($B9=1,1,IF(INDEX('CMA function inputs'!$B$25:$L$30,MATCH('Limpopo-Olifants CMA'!$A$1,'CMA function inputs'!$A$25:$A$30,0),MATCH('Limpopo-Olifants CMA'!$A9,'CMA function inputs'!$B$24:$L$24,0))&lt;=C$2,1,0))</f>
        <v>1</v>
      </c>
      <c r="D9">
        <f>IF($B9=1,1,IF(INDEX('CMA function inputs'!$B$25:$L$30,MATCH('Limpopo-Olifants CMA'!$A$1,'CMA function inputs'!$A$25:$A$30,0),MATCH('Limpopo-Olifants CMA'!$A9,'CMA function inputs'!$B$24:$L$24,0))&lt;=D$2,1,0))</f>
        <v>1</v>
      </c>
      <c r="E9">
        <f>IF($B9=1,1,IF(INDEX('CMA function inputs'!$B$25:$L$30,MATCH('Limpopo-Olifants CMA'!$A$1,'CMA function inputs'!$A$25:$A$30,0),MATCH('Limpopo-Olifants CMA'!$A9,'CMA function inputs'!$B$24:$L$24,0))&lt;=E$2,1,0))</f>
        <v>1</v>
      </c>
      <c r="F9">
        <f>IF($B9=1,1,IF(INDEX('CMA function inputs'!$B$25:$L$30,MATCH('Limpopo-Olifants CMA'!$A$1,'CMA function inputs'!$A$25:$A$30,0),MATCH('Limpopo-Olifants CMA'!$A9,'CMA function inputs'!$B$24:$L$24,0))&lt;=F$2,1,0))</f>
        <v>1</v>
      </c>
      <c r="G9">
        <f>IF($B9=1,1,IF(INDEX('CMA function inputs'!$B$25:$L$30,MATCH('Limpopo-Olifants CMA'!$A$1,'CMA function inputs'!$A$25:$A$30,0),MATCH('Limpopo-Olifants CMA'!$A9,'CMA function inputs'!$B$24:$L$24,0))&lt;=G$2,1,0))</f>
        <v>1</v>
      </c>
      <c r="H9">
        <f>IF($B9=1,1,IF(INDEX('CMA function inputs'!$B$25:$L$30,MATCH('Limpopo-Olifants CMA'!$A$1,'CMA function inputs'!$A$25:$A$30,0),MATCH('Limpopo-Olifants CMA'!$A9,'CMA function inputs'!$B$24:$L$24,0))&lt;=H$2,1,0))</f>
        <v>1</v>
      </c>
      <c r="I9">
        <f>IF($B9=1,1,IF(INDEX('CMA function inputs'!$B$25:$L$30,MATCH('Limpopo-Olifants CMA'!$A$1,'CMA function inputs'!$A$25:$A$30,0),MATCH('Limpopo-Olifants CMA'!$A9,'CMA function inputs'!$B$24:$L$24,0))&lt;=I$2,1,0))</f>
        <v>1</v>
      </c>
      <c r="J9">
        <f>IF($B9=1,1,IF(INDEX('CMA function inputs'!$B$25:$L$30,MATCH('Limpopo-Olifants CMA'!$A$1,'CMA function inputs'!$A$25:$A$30,0),MATCH('Limpopo-Olifants CMA'!$A9,'CMA function inputs'!$B$24:$L$24,0))&lt;=J$2,1,0))</f>
        <v>1</v>
      </c>
      <c r="K9">
        <f>IF($B9=1,1,IF(INDEX('CMA function inputs'!$B$25:$L$30,MATCH('Limpopo-Olifants CMA'!$A$1,'CMA function inputs'!$A$25:$A$30,0),MATCH('Limpopo-Olifants CMA'!$A9,'CMA function inputs'!$B$24:$L$24,0))&lt;=K$2,1,0))</f>
        <v>1</v>
      </c>
    </row>
    <row r="10" spans="1:11" x14ac:dyDescent="0.25">
      <c r="A10" s="4" t="s">
        <v>125</v>
      </c>
      <c r="B10">
        <f>INDEX('CMA function inputs'!$B$17:$L$22,MATCH($A$1,'CMA function inputs'!$A$17:$A$22,0),MATCH(A10,'CMA function inputs'!$B$16:$L$16,0))</f>
        <v>1</v>
      </c>
      <c r="C10">
        <f>IF($B10=1,1,IF(INDEX('CMA function inputs'!$B$25:$L$30,MATCH('Limpopo-Olifants CMA'!$A$1,'CMA function inputs'!$A$25:$A$30,0),MATCH('Limpopo-Olifants CMA'!$A10,'CMA function inputs'!$B$24:$L$24,0))&lt;=C$2,1,0))</f>
        <v>1</v>
      </c>
      <c r="D10">
        <f>IF($B10=1,1,IF(INDEX('CMA function inputs'!$B$25:$L$30,MATCH('Limpopo-Olifants CMA'!$A$1,'CMA function inputs'!$A$25:$A$30,0),MATCH('Limpopo-Olifants CMA'!$A10,'CMA function inputs'!$B$24:$L$24,0))&lt;=D$2,1,0))</f>
        <v>1</v>
      </c>
      <c r="E10">
        <f>IF($B10=1,1,IF(INDEX('CMA function inputs'!$B$25:$L$30,MATCH('Limpopo-Olifants CMA'!$A$1,'CMA function inputs'!$A$25:$A$30,0),MATCH('Limpopo-Olifants CMA'!$A10,'CMA function inputs'!$B$24:$L$24,0))&lt;=E$2,1,0))</f>
        <v>1</v>
      </c>
      <c r="F10">
        <f>IF($B10=1,1,IF(INDEX('CMA function inputs'!$B$25:$L$30,MATCH('Limpopo-Olifants CMA'!$A$1,'CMA function inputs'!$A$25:$A$30,0),MATCH('Limpopo-Olifants CMA'!$A10,'CMA function inputs'!$B$24:$L$24,0))&lt;=F$2,1,0))</f>
        <v>1</v>
      </c>
      <c r="G10">
        <f>IF($B10=1,1,IF(INDEX('CMA function inputs'!$B$25:$L$30,MATCH('Limpopo-Olifants CMA'!$A$1,'CMA function inputs'!$A$25:$A$30,0),MATCH('Limpopo-Olifants CMA'!$A10,'CMA function inputs'!$B$24:$L$24,0))&lt;=G$2,1,0))</f>
        <v>1</v>
      </c>
      <c r="H10">
        <f>IF($B10=1,1,IF(INDEX('CMA function inputs'!$B$25:$L$30,MATCH('Limpopo-Olifants CMA'!$A$1,'CMA function inputs'!$A$25:$A$30,0),MATCH('Limpopo-Olifants CMA'!$A10,'CMA function inputs'!$B$24:$L$24,0))&lt;=H$2,1,0))</f>
        <v>1</v>
      </c>
      <c r="I10">
        <f>IF($B10=1,1,IF(INDEX('CMA function inputs'!$B$25:$L$30,MATCH('Limpopo-Olifants CMA'!$A$1,'CMA function inputs'!$A$25:$A$30,0),MATCH('Limpopo-Olifants CMA'!$A10,'CMA function inputs'!$B$24:$L$24,0))&lt;=I$2,1,0))</f>
        <v>1</v>
      </c>
      <c r="J10">
        <f>IF($B10=1,1,IF(INDEX('CMA function inputs'!$B$25:$L$30,MATCH('Limpopo-Olifants CMA'!$A$1,'CMA function inputs'!$A$25:$A$30,0),MATCH('Limpopo-Olifants CMA'!$A10,'CMA function inputs'!$B$24:$L$24,0))&lt;=J$2,1,0))</f>
        <v>1</v>
      </c>
      <c r="K10">
        <f>IF($B10=1,1,IF(INDEX('CMA function inputs'!$B$25:$L$30,MATCH('Limpopo-Olifants CMA'!$A$1,'CMA function inputs'!$A$25:$A$30,0),MATCH('Limpopo-Olifants CMA'!$A10,'CMA function inputs'!$B$24:$L$24,0))&lt;=K$2,1,0))</f>
        <v>1</v>
      </c>
    </row>
    <row r="11" spans="1:11" x14ac:dyDescent="0.25">
      <c r="A11" s="4" t="s">
        <v>37</v>
      </c>
      <c r="B11">
        <f>INDEX('CMA function inputs'!$B$17:$L$22,MATCH($A$1,'CMA function inputs'!$A$17:$A$22,0),MATCH(A11,'CMA function inputs'!$B$16:$L$16,0))</f>
        <v>1</v>
      </c>
      <c r="C11">
        <f>IF($B11=1,1,IF(INDEX('CMA function inputs'!$B$25:$L$30,MATCH('Limpopo-Olifants CMA'!$A$1,'CMA function inputs'!$A$25:$A$30,0),MATCH('Limpopo-Olifants CMA'!$A11,'CMA function inputs'!$B$24:$L$24,0))&lt;=C$2,1,0))</f>
        <v>1</v>
      </c>
      <c r="D11">
        <f>IF($B11=1,1,IF(INDEX('CMA function inputs'!$B$25:$L$30,MATCH('Limpopo-Olifants CMA'!$A$1,'CMA function inputs'!$A$25:$A$30,0),MATCH('Limpopo-Olifants CMA'!$A11,'CMA function inputs'!$B$24:$L$24,0))&lt;=D$2,1,0))</f>
        <v>1</v>
      </c>
      <c r="E11">
        <f>IF($B11=1,1,IF(INDEX('CMA function inputs'!$B$25:$L$30,MATCH('Limpopo-Olifants CMA'!$A$1,'CMA function inputs'!$A$25:$A$30,0),MATCH('Limpopo-Olifants CMA'!$A11,'CMA function inputs'!$B$24:$L$24,0))&lt;=E$2,1,0))</f>
        <v>1</v>
      </c>
      <c r="F11">
        <f>IF($B11=1,1,IF(INDEX('CMA function inputs'!$B$25:$L$30,MATCH('Limpopo-Olifants CMA'!$A$1,'CMA function inputs'!$A$25:$A$30,0),MATCH('Limpopo-Olifants CMA'!$A11,'CMA function inputs'!$B$24:$L$24,0))&lt;=F$2,1,0))</f>
        <v>1</v>
      </c>
      <c r="G11">
        <f>IF($B11=1,1,IF(INDEX('CMA function inputs'!$B$25:$L$30,MATCH('Limpopo-Olifants CMA'!$A$1,'CMA function inputs'!$A$25:$A$30,0),MATCH('Limpopo-Olifants CMA'!$A11,'CMA function inputs'!$B$24:$L$24,0))&lt;=G$2,1,0))</f>
        <v>1</v>
      </c>
      <c r="H11">
        <f>IF($B11=1,1,IF(INDEX('CMA function inputs'!$B$25:$L$30,MATCH('Limpopo-Olifants CMA'!$A$1,'CMA function inputs'!$A$25:$A$30,0),MATCH('Limpopo-Olifants CMA'!$A11,'CMA function inputs'!$B$24:$L$24,0))&lt;=H$2,1,0))</f>
        <v>1</v>
      </c>
      <c r="I11">
        <f>IF($B11=1,1,IF(INDEX('CMA function inputs'!$B$25:$L$30,MATCH('Limpopo-Olifants CMA'!$A$1,'CMA function inputs'!$A$25:$A$30,0),MATCH('Limpopo-Olifants CMA'!$A11,'CMA function inputs'!$B$24:$L$24,0))&lt;=I$2,1,0))</f>
        <v>1</v>
      </c>
      <c r="J11">
        <f>IF($B11=1,1,IF(INDEX('CMA function inputs'!$B$25:$L$30,MATCH('Limpopo-Olifants CMA'!$A$1,'CMA function inputs'!$A$25:$A$30,0),MATCH('Limpopo-Olifants CMA'!$A11,'CMA function inputs'!$B$24:$L$24,0))&lt;=J$2,1,0))</f>
        <v>1</v>
      </c>
      <c r="K11">
        <f>IF($B11=1,1,IF(INDEX('CMA function inputs'!$B$25:$L$30,MATCH('Limpopo-Olifants CMA'!$A$1,'CMA function inputs'!$A$25:$A$30,0),MATCH('Limpopo-Olifants CMA'!$A11,'CMA function inputs'!$B$24:$L$24,0))&lt;=K$2,1,0))</f>
        <v>1</v>
      </c>
    </row>
    <row r="12" spans="1:11" x14ac:dyDescent="0.25">
      <c r="A12" s="4" t="s">
        <v>38</v>
      </c>
      <c r="B12">
        <f>INDEX('CMA function inputs'!$B$17:$L$22,MATCH($A$1,'CMA function inputs'!$A$17:$A$22,0),MATCH(A12,'CMA function inputs'!$B$16:$L$16,0))</f>
        <v>1</v>
      </c>
      <c r="C12">
        <f>IF($B12=1,1,IF(INDEX('CMA function inputs'!$B$25:$L$30,MATCH('Limpopo-Olifants CMA'!$A$1,'CMA function inputs'!$A$25:$A$30,0),MATCH('Limpopo-Olifants CMA'!$A12,'CMA function inputs'!$B$24:$L$24,0))&lt;=C$2,1,0))</f>
        <v>1</v>
      </c>
      <c r="D12">
        <f>IF($B12=1,1,IF(INDEX('CMA function inputs'!$B$25:$L$30,MATCH('Limpopo-Olifants CMA'!$A$1,'CMA function inputs'!$A$25:$A$30,0),MATCH('Limpopo-Olifants CMA'!$A12,'CMA function inputs'!$B$24:$L$24,0))&lt;=D$2,1,0))</f>
        <v>1</v>
      </c>
      <c r="E12">
        <f>IF($B12=1,1,IF(INDEX('CMA function inputs'!$B$25:$L$30,MATCH('Limpopo-Olifants CMA'!$A$1,'CMA function inputs'!$A$25:$A$30,0),MATCH('Limpopo-Olifants CMA'!$A12,'CMA function inputs'!$B$24:$L$24,0))&lt;=E$2,1,0))</f>
        <v>1</v>
      </c>
      <c r="F12">
        <f>IF($B12=1,1,IF(INDEX('CMA function inputs'!$B$25:$L$30,MATCH('Limpopo-Olifants CMA'!$A$1,'CMA function inputs'!$A$25:$A$30,0),MATCH('Limpopo-Olifants CMA'!$A12,'CMA function inputs'!$B$24:$L$24,0))&lt;=F$2,1,0))</f>
        <v>1</v>
      </c>
      <c r="G12">
        <f>IF($B12=1,1,IF(INDEX('CMA function inputs'!$B$25:$L$30,MATCH('Limpopo-Olifants CMA'!$A$1,'CMA function inputs'!$A$25:$A$30,0),MATCH('Limpopo-Olifants CMA'!$A12,'CMA function inputs'!$B$24:$L$24,0))&lt;=G$2,1,0))</f>
        <v>1</v>
      </c>
      <c r="H12">
        <f>IF($B12=1,1,IF(INDEX('CMA function inputs'!$B$25:$L$30,MATCH('Limpopo-Olifants CMA'!$A$1,'CMA function inputs'!$A$25:$A$30,0),MATCH('Limpopo-Olifants CMA'!$A12,'CMA function inputs'!$B$24:$L$24,0))&lt;=H$2,1,0))</f>
        <v>1</v>
      </c>
      <c r="I12">
        <f>IF($B12=1,1,IF(INDEX('CMA function inputs'!$B$25:$L$30,MATCH('Limpopo-Olifants CMA'!$A$1,'CMA function inputs'!$A$25:$A$30,0),MATCH('Limpopo-Olifants CMA'!$A12,'CMA function inputs'!$B$24:$L$24,0))&lt;=I$2,1,0))</f>
        <v>1</v>
      </c>
      <c r="J12">
        <f>IF($B12=1,1,IF(INDEX('CMA function inputs'!$B$25:$L$30,MATCH('Limpopo-Olifants CMA'!$A$1,'CMA function inputs'!$A$25:$A$30,0),MATCH('Limpopo-Olifants CMA'!$A12,'CMA function inputs'!$B$24:$L$24,0))&lt;=J$2,1,0))</f>
        <v>1</v>
      </c>
      <c r="K12">
        <f>IF($B12=1,1,IF(INDEX('CMA function inputs'!$B$25:$L$30,MATCH('Limpopo-Olifants CMA'!$A$1,'CMA function inputs'!$A$25:$A$30,0),MATCH('Limpopo-Olifants CMA'!$A12,'CMA function inputs'!$B$24:$L$24,0))&lt;=K$2,1,0))</f>
        <v>1</v>
      </c>
    </row>
    <row r="13" spans="1:11" x14ac:dyDescent="0.25">
      <c r="A13" s="4" t="s">
        <v>15</v>
      </c>
      <c r="B13">
        <f>INDEX('CMA function inputs'!$B$17:$L$22,MATCH($A$1,'CMA function inputs'!$A$17:$A$22,0),MATCH(A13,'CMA function inputs'!$B$16:$L$16,0))</f>
        <v>1</v>
      </c>
      <c r="C13">
        <f>IF($B13=1,1,IF(INDEX('CMA function inputs'!$B$25:$L$30,MATCH('Limpopo-Olifants CMA'!$A$1,'CMA function inputs'!$A$25:$A$30,0),MATCH('Limpopo-Olifants CMA'!$A13,'CMA function inputs'!$B$24:$L$24,0))&lt;=C$2,1,0))</f>
        <v>1</v>
      </c>
      <c r="D13">
        <f>IF($B13=1,1,IF(INDEX('CMA function inputs'!$B$25:$L$30,MATCH('Limpopo-Olifants CMA'!$A$1,'CMA function inputs'!$A$25:$A$30,0),MATCH('Limpopo-Olifants CMA'!$A13,'CMA function inputs'!$B$24:$L$24,0))&lt;=D$2,1,0))</f>
        <v>1</v>
      </c>
      <c r="E13">
        <f>IF($B13=1,1,IF(INDEX('CMA function inputs'!$B$25:$L$30,MATCH('Limpopo-Olifants CMA'!$A$1,'CMA function inputs'!$A$25:$A$30,0),MATCH('Limpopo-Olifants CMA'!$A13,'CMA function inputs'!$B$24:$L$24,0))&lt;=E$2,1,0))</f>
        <v>1</v>
      </c>
      <c r="F13">
        <f>IF($B13=1,1,IF(INDEX('CMA function inputs'!$B$25:$L$30,MATCH('Limpopo-Olifants CMA'!$A$1,'CMA function inputs'!$A$25:$A$30,0),MATCH('Limpopo-Olifants CMA'!$A13,'CMA function inputs'!$B$24:$L$24,0))&lt;=F$2,1,0))</f>
        <v>1</v>
      </c>
      <c r="G13">
        <f>IF($B13=1,1,IF(INDEX('CMA function inputs'!$B$25:$L$30,MATCH('Limpopo-Olifants CMA'!$A$1,'CMA function inputs'!$A$25:$A$30,0),MATCH('Limpopo-Olifants CMA'!$A13,'CMA function inputs'!$B$24:$L$24,0))&lt;=G$2,1,0))</f>
        <v>1</v>
      </c>
      <c r="H13">
        <f>IF($B13=1,1,IF(INDEX('CMA function inputs'!$B$25:$L$30,MATCH('Limpopo-Olifants CMA'!$A$1,'CMA function inputs'!$A$25:$A$30,0),MATCH('Limpopo-Olifants CMA'!$A13,'CMA function inputs'!$B$24:$L$24,0))&lt;=H$2,1,0))</f>
        <v>1</v>
      </c>
      <c r="I13">
        <f>IF($B13=1,1,IF(INDEX('CMA function inputs'!$B$25:$L$30,MATCH('Limpopo-Olifants CMA'!$A$1,'CMA function inputs'!$A$25:$A$30,0),MATCH('Limpopo-Olifants CMA'!$A13,'CMA function inputs'!$B$24:$L$24,0))&lt;=I$2,1,0))</f>
        <v>1</v>
      </c>
      <c r="J13">
        <f>IF($B13=1,1,IF(INDEX('CMA function inputs'!$B$25:$L$30,MATCH('Limpopo-Olifants CMA'!$A$1,'CMA function inputs'!$A$25:$A$30,0),MATCH('Limpopo-Olifants CMA'!$A13,'CMA function inputs'!$B$24:$L$24,0))&lt;=J$2,1,0))</f>
        <v>1</v>
      </c>
      <c r="K13">
        <f>IF($B13=1,1,IF(INDEX('CMA function inputs'!$B$25:$L$30,MATCH('Limpopo-Olifants CMA'!$A$1,'CMA function inputs'!$A$25:$A$30,0),MATCH('Limpopo-Olifants CMA'!$A13,'CMA function inputs'!$B$24:$L$24,0))&lt;=K$2,1,0))</f>
        <v>1</v>
      </c>
    </row>
    <row r="14" spans="1:11" x14ac:dyDescent="0.25">
      <c r="A14" s="4"/>
    </row>
    <row r="15" spans="1:11" x14ac:dyDescent="0.25">
      <c r="A15" s="4"/>
      <c r="B15" t="s">
        <v>55</v>
      </c>
      <c r="C15" t="s">
        <v>20</v>
      </c>
      <c r="D15" t="s">
        <v>21</v>
      </c>
      <c r="E15" t="s">
        <v>51</v>
      </c>
    </row>
    <row r="16" spans="1:11" x14ac:dyDescent="0.25">
      <c r="A16" s="4" t="s">
        <v>35</v>
      </c>
      <c r="B16" s="22">
        <f>'CMA function inputs'!B3</f>
        <v>3.1046720286065279E-3</v>
      </c>
      <c r="C16" t="str">
        <f>'CMA function inputs'!C3</f>
        <v>Registered volume</v>
      </c>
      <c r="D16" s="8">
        <f>INDEX('Data inputs'!$B$4:$D$9,MATCH($A$1,'Data inputs'!$A$4:$A$9,0),MATCH(C16,'Data inputs'!$B$3:$D$3,0))</f>
        <v>3767940628</v>
      </c>
      <c r="E16" s="5">
        <f>B16*D16</f>
        <v>11698219.873201715</v>
      </c>
    </row>
    <row r="17" spans="1:11" x14ac:dyDescent="0.25">
      <c r="A17" s="4" t="s">
        <v>36</v>
      </c>
      <c r="B17" s="22">
        <f>'CMA function inputs'!B4</f>
        <v>1.7019297206331829E-3</v>
      </c>
      <c r="C17" t="str">
        <f>'CMA function inputs'!C4</f>
        <v>Registered volume</v>
      </c>
      <c r="D17" s="8">
        <f>INDEX('Data inputs'!$B$4:$D$9,MATCH($A$1,'Data inputs'!$A$4:$A$9,0),MATCH(C17,'Data inputs'!$B$3:$D$3,0))</f>
        <v>3767940628</v>
      </c>
      <c r="E17" s="5">
        <f t="shared" ref="E17:E26" si="1">B17*D17</f>
        <v>6412770.1403744603</v>
      </c>
    </row>
    <row r="18" spans="1:11" x14ac:dyDescent="0.25">
      <c r="A18" s="4" t="s">
        <v>11</v>
      </c>
      <c r="B18" s="81">
        <v>0</v>
      </c>
      <c r="C18" s="81">
        <v>0</v>
      </c>
      <c r="D18" s="81">
        <v>0</v>
      </c>
      <c r="E18" s="81">
        <v>0</v>
      </c>
      <c r="F18" s="83" t="s">
        <v>112</v>
      </c>
    </row>
    <row r="19" spans="1:11" x14ac:dyDescent="0.25">
      <c r="A19" s="4" t="s">
        <v>124</v>
      </c>
      <c r="B19" s="22">
        <f>'CMA function inputs'!B6</f>
        <v>15.079185256950241</v>
      </c>
      <c r="C19" t="str">
        <f>'CMA function inputs'!C6</f>
        <v>Area</v>
      </c>
      <c r="D19" s="8">
        <f>INDEX('Data inputs'!$B$4:$D$9,MATCH($A$1,'Data inputs'!$A$4:$A$9,0),MATCH(C19,'Data inputs'!$B$3:$D$3,0))</f>
        <v>183125.02478000001</v>
      </c>
      <c r="E19" s="5">
        <f t="shared" si="1"/>
        <v>2761376.1738412236</v>
      </c>
    </row>
    <row r="20" spans="1:11" x14ac:dyDescent="0.25">
      <c r="A20" s="4" t="s">
        <v>12</v>
      </c>
      <c r="B20" s="22">
        <f>'CMA function inputs'!B7</f>
        <v>9.7869565022375288E-3</v>
      </c>
      <c r="C20" t="str">
        <f>'CMA function inputs'!C7</f>
        <v>Registered volume</v>
      </c>
      <c r="D20" s="8">
        <f>INDEX('Data inputs'!$B$4:$D$9,MATCH($A$1,'Data inputs'!$A$4:$A$9,0),MATCH(C20,'Data inputs'!$B$3:$D$3,0))</f>
        <v>3767940628</v>
      </c>
      <c r="E20" s="5">
        <f t="shared" si="1"/>
        <v>36876671.029249556</v>
      </c>
    </row>
    <row r="21" spans="1:11" x14ac:dyDescent="0.25">
      <c r="A21" s="4" t="s">
        <v>13</v>
      </c>
      <c r="B21" s="81">
        <v>0</v>
      </c>
      <c r="C21" s="81">
        <v>0</v>
      </c>
      <c r="D21" s="81">
        <v>0</v>
      </c>
      <c r="E21" s="81">
        <v>0</v>
      </c>
      <c r="F21" s="83" t="s">
        <v>112</v>
      </c>
    </row>
    <row r="22" spans="1:11" x14ac:dyDescent="0.25">
      <c r="A22" s="4" t="s">
        <v>14</v>
      </c>
      <c r="B22" s="81">
        <v>0</v>
      </c>
      <c r="C22" s="81">
        <v>0</v>
      </c>
      <c r="D22" s="81">
        <v>0</v>
      </c>
      <c r="E22" s="81">
        <v>0</v>
      </c>
      <c r="F22" s="83" t="s">
        <v>112</v>
      </c>
    </row>
    <row r="23" spans="1:11" x14ac:dyDescent="0.25">
      <c r="A23" s="4" t="s">
        <v>125</v>
      </c>
      <c r="B23" s="22">
        <f>'CMA function inputs'!B10</f>
        <v>3.2367164664335804E-4</v>
      </c>
      <c r="C23" t="str">
        <f>'CMA function inputs'!C10</f>
        <v>Registered volume</v>
      </c>
      <c r="D23" s="8">
        <f>INDEX('Data inputs'!$B$4:$D$9,MATCH($A$1,'Data inputs'!$A$4:$A$9,0),MATCH(C23,'Data inputs'!$B$3:$D$3,0))</f>
        <v>3767940628</v>
      </c>
      <c r="E23" s="5">
        <f t="shared" ref="E23" si="2">B23*D23</f>
        <v>1219575.5475191686</v>
      </c>
      <c r="F23" s="83"/>
    </row>
    <row r="24" spans="1:11" x14ac:dyDescent="0.25">
      <c r="A24" s="4" t="s">
        <v>37</v>
      </c>
      <c r="B24" s="22">
        <f>'CMA function inputs'!B11</f>
        <v>9.4147590178041175E-3</v>
      </c>
      <c r="C24" t="str">
        <f>'CMA function inputs'!C11</f>
        <v>Registered volume</v>
      </c>
      <c r="D24" s="8">
        <f>INDEX('Data inputs'!$B$4:$D$9,MATCH($A$1,'Data inputs'!$A$4:$A$9,0),MATCH(C24,'Data inputs'!$B$3:$D$3,0))</f>
        <v>3767940628</v>
      </c>
      <c r="E24" s="5">
        <f t="shared" si="1"/>
        <v>35474253.006013513</v>
      </c>
    </row>
    <row r="25" spans="1:11" x14ac:dyDescent="0.25">
      <c r="A25" s="4" t="s">
        <v>38</v>
      </c>
      <c r="B25" s="22">
        <f>'CMA function inputs'!B12</f>
        <v>1.262070332489598E-3</v>
      </c>
      <c r="C25" t="str">
        <f>'CMA function inputs'!C12</f>
        <v>Registered volume</v>
      </c>
      <c r="D25" s="8">
        <f>INDEX('Data inputs'!$B$4:$D$9,MATCH($A$1,'Data inputs'!$A$4:$A$9,0),MATCH(C25,'Data inputs'!$B$3:$D$3,0))</f>
        <v>3767940628</v>
      </c>
      <c r="E25" s="5">
        <f t="shared" si="1"/>
        <v>4755406.0811810251</v>
      </c>
    </row>
    <row r="26" spans="1:11" x14ac:dyDescent="0.25">
      <c r="A26" s="4" t="s">
        <v>15</v>
      </c>
      <c r="B26" s="22">
        <f>'CMA function inputs'!B13</f>
        <v>1.0919241845339479E-2</v>
      </c>
      <c r="C26" t="str">
        <f>'CMA function inputs'!C13</f>
        <v>Registered volume</v>
      </c>
      <c r="D26" s="8">
        <f>INDEX('Data inputs'!$B$4:$D$9,MATCH($A$1,'Data inputs'!$A$4:$A$9,0),MATCH(C26,'Data inputs'!$B$3:$D$3,0))</f>
        <v>3767940628</v>
      </c>
      <c r="E26" s="13">
        <f t="shared" si="1"/>
        <v>41143054.976012312</v>
      </c>
    </row>
    <row r="27" spans="1:11" x14ac:dyDescent="0.25">
      <c r="E27" s="14">
        <f>SUM(E16:E26)</f>
        <v>140341326.82739297</v>
      </c>
    </row>
    <row r="28" spans="1:11" s="3" customFormat="1" x14ac:dyDescent="0.25">
      <c r="A28" s="2"/>
    </row>
    <row r="29" spans="1:11" x14ac:dyDescent="0.25">
      <c r="A29" s="15" t="s">
        <v>22</v>
      </c>
      <c r="B29" s="7">
        <f>'Summary dashboard'!B3</f>
        <v>1</v>
      </c>
      <c r="C29" s="6">
        <f t="shared" ref="C29:J29" si="3">B29+($K$29-$B$29)/9</f>
        <v>1</v>
      </c>
      <c r="D29" s="6">
        <f t="shared" si="3"/>
        <v>1</v>
      </c>
      <c r="E29" s="6">
        <f t="shared" si="3"/>
        <v>1</v>
      </c>
      <c r="F29" s="6">
        <f t="shared" si="3"/>
        <v>1</v>
      </c>
      <c r="G29" s="6">
        <f t="shared" si="3"/>
        <v>1</v>
      </c>
      <c r="H29" s="6">
        <f t="shared" si="3"/>
        <v>1</v>
      </c>
      <c r="I29" s="6">
        <f t="shared" si="3"/>
        <v>1</v>
      </c>
      <c r="J29" s="6">
        <f t="shared" si="3"/>
        <v>1</v>
      </c>
      <c r="K29" s="7">
        <f>'Summary dashboard'!C3</f>
        <v>1</v>
      </c>
    </row>
    <row r="30" spans="1:11" x14ac:dyDescent="0.25">
      <c r="B30" s="12" t="str">
        <f>'Summary dashboard'!C4</f>
        <v>2023</v>
      </c>
      <c r="C30" s="12">
        <f>B30+1</f>
        <v>2024</v>
      </c>
      <c r="D30" s="12">
        <f t="shared" ref="D30:J30" si="4">C30+1</f>
        <v>2025</v>
      </c>
      <c r="E30" s="12">
        <f t="shared" si="4"/>
        <v>2026</v>
      </c>
      <c r="F30" s="12">
        <f t="shared" si="4"/>
        <v>2027</v>
      </c>
      <c r="G30" s="12">
        <f t="shared" si="4"/>
        <v>2028</v>
      </c>
      <c r="H30" s="12">
        <f t="shared" si="4"/>
        <v>2029</v>
      </c>
      <c r="I30" s="12">
        <f t="shared" si="4"/>
        <v>2030</v>
      </c>
      <c r="J30" s="12">
        <f t="shared" si="4"/>
        <v>2031</v>
      </c>
      <c r="K30" s="12">
        <f>J30+1</f>
        <v>2032</v>
      </c>
    </row>
    <row r="31" spans="1:11" x14ac:dyDescent="0.25">
      <c r="A31" s="4" t="s">
        <v>35</v>
      </c>
      <c r="B31" s="16">
        <f>IF(B3=1,B$29,0)</f>
        <v>1</v>
      </c>
      <c r="C31" s="16">
        <f t="shared" ref="C31:K41" si="5">IF(IF(C3&gt;B3,$B$29,B31+($K$29-$B$29)/9)&lt;0,0,IF(C3&gt;B3,$B$29,B31+($K$29-$B$29)/9))</f>
        <v>1</v>
      </c>
      <c r="D31" s="16">
        <f t="shared" si="5"/>
        <v>1</v>
      </c>
      <c r="E31" s="16">
        <f>IF(IF(E3&gt;D3,$B$29,D31+($K$29-$B$29)/9)&lt;0,0,IF(E3&gt;D3,$B$29,D31+($K$29-$B$29)/9))</f>
        <v>1</v>
      </c>
      <c r="F31" s="16">
        <f t="shared" si="5"/>
        <v>1</v>
      </c>
      <c r="G31" s="16">
        <f t="shared" si="5"/>
        <v>1</v>
      </c>
      <c r="H31" s="16">
        <f t="shared" si="5"/>
        <v>1</v>
      </c>
      <c r="I31" s="16">
        <f t="shared" si="5"/>
        <v>1</v>
      </c>
      <c r="J31" s="16">
        <f t="shared" si="5"/>
        <v>1</v>
      </c>
      <c r="K31" s="16">
        <f t="shared" si="5"/>
        <v>1</v>
      </c>
    </row>
    <row r="32" spans="1:11" x14ac:dyDescent="0.25">
      <c r="A32" s="4" t="s">
        <v>36</v>
      </c>
      <c r="B32" s="16">
        <f t="shared" ref="B32:B41" si="6">IF(B4=1,B$29,0)</f>
        <v>1</v>
      </c>
      <c r="C32" s="16">
        <f t="shared" si="5"/>
        <v>1</v>
      </c>
      <c r="D32" s="16">
        <f t="shared" si="5"/>
        <v>1</v>
      </c>
      <c r="E32" s="16">
        <f t="shared" si="5"/>
        <v>1</v>
      </c>
      <c r="F32" s="16">
        <f t="shared" si="5"/>
        <v>1</v>
      </c>
      <c r="G32" s="16">
        <f t="shared" si="5"/>
        <v>1</v>
      </c>
      <c r="H32" s="16">
        <f t="shared" si="5"/>
        <v>1</v>
      </c>
      <c r="I32" s="16">
        <f t="shared" si="5"/>
        <v>1</v>
      </c>
      <c r="J32" s="16">
        <f t="shared" si="5"/>
        <v>1</v>
      </c>
      <c r="K32" s="16">
        <f t="shared" si="5"/>
        <v>1</v>
      </c>
    </row>
    <row r="33" spans="1:14" x14ac:dyDescent="0.25">
      <c r="A33" s="4" t="s">
        <v>11</v>
      </c>
      <c r="B33" s="16">
        <f t="shared" si="6"/>
        <v>1</v>
      </c>
      <c r="C33" s="16">
        <f t="shared" si="5"/>
        <v>1</v>
      </c>
      <c r="D33" s="16">
        <f>IF(IF(D5&gt;C5,$B$29,C33+($K$29-$B$29)/9)&lt;0,0,IF(D5&gt;C5,$B$29,C33+($K$29-$B$29)/9))</f>
        <v>1</v>
      </c>
      <c r="E33" s="16">
        <f t="shared" si="5"/>
        <v>1</v>
      </c>
      <c r="F33" s="16">
        <f t="shared" si="5"/>
        <v>1</v>
      </c>
      <c r="G33" s="16">
        <f t="shared" si="5"/>
        <v>1</v>
      </c>
      <c r="H33" s="16">
        <f t="shared" si="5"/>
        <v>1</v>
      </c>
      <c r="I33" s="16">
        <f t="shared" si="5"/>
        <v>1</v>
      </c>
      <c r="J33" s="16">
        <f t="shared" si="5"/>
        <v>1</v>
      </c>
      <c r="K33" s="16">
        <f t="shared" si="5"/>
        <v>1</v>
      </c>
    </row>
    <row r="34" spans="1:14" x14ac:dyDescent="0.25">
      <c r="A34" s="4" t="s">
        <v>124</v>
      </c>
      <c r="B34" s="16">
        <f t="shared" si="6"/>
        <v>1</v>
      </c>
      <c r="C34" s="16">
        <f t="shared" si="5"/>
        <v>1</v>
      </c>
      <c r="D34" s="16">
        <f t="shared" si="5"/>
        <v>1</v>
      </c>
      <c r="E34" s="16">
        <f t="shared" si="5"/>
        <v>1</v>
      </c>
      <c r="F34" s="16">
        <f t="shared" si="5"/>
        <v>1</v>
      </c>
      <c r="G34" s="16">
        <f t="shared" si="5"/>
        <v>1</v>
      </c>
      <c r="H34" s="16">
        <f t="shared" si="5"/>
        <v>1</v>
      </c>
      <c r="I34" s="16">
        <f t="shared" si="5"/>
        <v>1</v>
      </c>
      <c r="J34" s="16">
        <f t="shared" si="5"/>
        <v>1</v>
      </c>
      <c r="K34" s="16">
        <f t="shared" si="5"/>
        <v>1</v>
      </c>
    </row>
    <row r="35" spans="1:14" x14ac:dyDescent="0.25">
      <c r="A35" s="4" t="s">
        <v>12</v>
      </c>
      <c r="B35" s="16">
        <f t="shared" si="6"/>
        <v>1</v>
      </c>
      <c r="C35" s="16">
        <f t="shared" si="5"/>
        <v>1</v>
      </c>
      <c r="D35" s="16">
        <f t="shared" si="5"/>
        <v>1</v>
      </c>
      <c r="E35" s="16">
        <f t="shared" si="5"/>
        <v>1</v>
      </c>
      <c r="F35" s="16">
        <f t="shared" si="5"/>
        <v>1</v>
      </c>
      <c r="G35" s="16">
        <f t="shared" si="5"/>
        <v>1</v>
      </c>
      <c r="H35" s="16">
        <f t="shared" si="5"/>
        <v>1</v>
      </c>
      <c r="I35" s="16">
        <f t="shared" si="5"/>
        <v>1</v>
      </c>
      <c r="J35" s="16">
        <f t="shared" si="5"/>
        <v>1</v>
      </c>
      <c r="K35" s="16">
        <f t="shared" si="5"/>
        <v>1</v>
      </c>
    </row>
    <row r="36" spans="1:14" x14ac:dyDescent="0.25">
      <c r="A36" s="4" t="s">
        <v>13</v>
      </c>
      <c r="B36" s="16">
        <f t="shared" si="6"/>
        <v>1</v>
      </c>
      <c r="C36" s="16">
        <f t="shared" si="5"/>
        <v>1</v>
      </c>
      <c r="D36" s="16">
        <f t="shared" si="5"/>
        <v>1</v>
      </c>
      <c r="E36" s="16">
        <f t="shared" si="5"/>
        <v>1</v>
      </c>
      <c r="F36" s="16">
        <f t="shared" si="5"/>
        <v>1</v>
      </c>
      <c r="G36" s="16">
        <f t="shared" si="5"/>
        <v>1</v>
      </c>
      <c r="H36" s="16">
        <f t="shared" si="5"/>
        <v>1</v>
      </c>
      <c r="I36" s="16">
        <f t="shared" si="5"/>
        <v>1</v>
      </c>
      <c r="J36" s="16">
        <f t="shared" si="5"/>
        <v>1</v>
      </c>
      <c r="K36" s="16">
        <f t="shared" si="5"/>
        <v>1</v>
      </c>
    </row>
    <row r="37" spans="1:14" x14ac:dyDescent="0.25">
      <c r="A37" s="4" t="s">
        <v>14</v>
      </c>
      <c r="B37" s="16">
        <f t="shared" si="6"/>
        <v>1</v>
      </c>
      <c r="C37" s="16">
        <f t="shared" si="5"/>
        <v>1</v>
      </c>
      <c r="D37" s="16">
        <f t="shared" si="5"/>
        <v>1</v>
      </c>
      <c r="E37" s="16">
        <f t="shared" si="5"/>
        <v>1</v>
      </c>
      <c r="F37" s="16">
        <f t="shared" si="5"/>
        <v>1</v>
      </c>
      <c r="G37" s="16">
        <f t="shared" si="5"/>
        <v>1</v>
      </c>
      <c r="H37" s="16">
        <f t="shared" si="5"/>
        <v>1</v>
      </c>
      <c r="I37" s="16">
        <f t="shared" si="5"/>
        <v>1</v>
      </c>
      <c r="J37" s="16">
        <f t="shared" si="5"/>
        <v>1</v>
      </c>
      <c r="K37" s="16">
        <f t="shared" si="5"/>
        <v>1</v>
      </c>
    </row>
    <row r="38" spans="1:14" x14ac:dyDescent="0.25">
      <c r="A38" s="4" t="s">
        <v>125</v>
      </c>
      <c r="B38" s="16">
        <f t="shared" si="6"/>
        <v>1</v>
      </c>
      <c r="C38" s="16">
        <f t="shared" si="5"/>
        <v>1</v>
      </c>
      <c r="D38" s="16">
        <f t="shared" si="5"/>
        <v>1</v>
      </c>
      <c r="E38" s="16">
        <f t="shared" si="5"/>
        <v>1</v>
      </c>
      <c r="F38" s="16">
        <f t="shared" si="5"/>
        <v>1</v>
      </c>
      <c r="G38" s="16">
        <f t="shared" si="5"/>
        <v>1</v>
      </c>
      <c r="H38" s="16">
        <f t="shared" si="5"/>
        <v>1</v>
      </c>
      <c r="I38" s="16">
        <f t="shared" si="5"/>
        <v>1</v>
      </c>
      <c r="J38" s="16">
        <f t="shared" si="5"/>
        <v>1</v>
      </c>
      <c r="K38" s="16">
        <f t="shared" si="5"/>
        <v>1</v>
      </c>
    </row>
    <row r="39" spans="1:14" x14ac:dyDescent="0.25">
      <c r="A39" s="4" t="s">
        <v>37</v>
      </c>
      <c r="B39" s="16">
        <f t="shared" si="6"/>
        <v>1</v>
      </c>
      <c r="C39" s="16">
        <f t="shared" si="5"/>
        <v>1</v>
      </c>
      <c r="D39" s="16">
        <f t="shared" si="5"/>
        <v>1</v>
      </c>
      <c r="E39" s="16">
        <f t="shared" si="5"/>
        <v>1</v>
      </c>
      <c r="F39" s="16">
        <f t="shared" si="5"/>
        <v>1</v>
      </c>
      <c r="G39" s="16">
        <f t="shared" si="5"/>
        <v>1</v>
      </c>
      <c r="H39" s="16">
        <f t="shared" si="5"/>
        <v>1</v>
      </c>
      <c r="I39" s="16">
        <f t="shared" si="5"/>
        <v>1</v>
      </c>
      <c r="J39" s="16">
        <f t="shared" si="5"/>
        <v>1</v>
      </c>
      <c r="K39" s="16">
        <f t="shared" si="5"/>
        <v>1</v>
      </c>
    </row>
    <row r="40" spans="1:14" x14ac:dyDescent="0.25">
      <c r="A40" s="4" t="s">
        <v>38</v>
      </c>
      <c r="B40" s="16">
        <f t="shared" si="6"/>
        <v>1</v>
      </c>
      <c r="C40" s="16">
        <f t="shared" si="5"/>
        <v>1</v>
      </c>
      <c r="D40" s="16">
        <f t="shared" si="5"/>
        <v>1</v>
      </c>
      <c r="E40" s="16">
        <f t="shared" si="5"/>
        <v>1</v>
      </c>
      <c r="F40" s="16">
        <f t="shared" si="5"/>
        <v>1</v>
      </c>
      <c r="G40" s="16">
        <f t="shared" si="5"/>
        <v>1</v>
      </c>
      <c r="H40" s="16">
        <f t="shared" si="5"/>
        <v>1</v>
      </c>
      <c r="I40" s="16">
        <f t="shared" si="5"/>
        <v>1</v>
      </c>
      <c r="J40" s="16">
        <f t="shared" si="5"/>
        <v>1</v>
      </c>
      <c r="K40" s="16">
        <f t="shared" si="5"/>
        <v>1</v>
      </c>
    </row>
    <row r="41" spans="1:14" x14ac:dyDescent="0.25">
      <c r="A41" s="4" t="s">
        <v>15</v>
      </c>
      <c r="B41" s="16">
        <f t="shared" si="6"/>
        <v>1</v>
      </c>
      <c r="C41" s="16">
        <f t="shared" si="5"/>
        <v>1</v>
      </c>
      <c r="D41" s="16">
        <f t="shared" si="5"/>
        <v>1</v>
      </c>
      <c r="E41" s="16">
        <f t="shared" si="5"/>
        <v>1</v>
      </c>
      <c r="F41" s="16">
        <f t="shared" si="5"/>
        <v>1</v>
      </c>
      <c r="G41" s="16">
        <f t="shared" si="5"/>
        <v>1</v>
      </c>
      <c r="H41" s="16">
        <f t="shared" si="5"/>
        <v>1</v>
      </c>
      <c r="I41" s="16">
        <f t="shared" si="5"/>
        <v>1</v>
      </c>
      <c r="J41" s="16">
        <f t="shared" si="5"/>
        <v>1</v>
      </c>
      <c r="K41" s="16">
        <f t="shared" si="5"/>
        <v>1</v>
      </c>
    </row>
    <row r="42" spans="1:14" x14ac:dyDescent="0.25">
      <c r="C42" s="6"/>
      <c r="D42" s="6"/>
      <c r="E42" s="6"/>
      <c r="F42" s="6"/>
      <c r="G42" s="6"/>
      <c r="H42" s="6"/>
      <c r="I42" s="6"/>
      <c r="J42" s="6"/>
      <c r="K42" s="6"/>
      <c r="N42" s="1" t="s">
        <v>63</v>
      </c>
    </row>
    <row r="43" spans="1:14" x14ac:dyDescent="0.25">
      <c r="A43" s="1" t="s">
        <v>60</v>
      </c>
      <c r="B43" s="12" t="str">
        <f>'Summary dashboard'!C4</f>
        <v>2023</v>
      </c>
      <c r="C43" s="12">
        <f t="shared" ref="C43" si="7">B43+1</f>
        <v>2024</v>
      </c>
      <c r="D43" s="12">
        <f t="shared" ref="D43" si="8">C43+1</f>
        <v>2025</v>
      </c>
      <c r="E43" s="12">
        <f t="shared" ref="E43" si="9">D43+1</f>
        <v>2026</v>
      </c>
      <c r="F43" s="12">
        <f t="shared" ref="F43" si="10">E43+1</f>
        <v>2027</v>
      </c>
      <c r="G43" s="12">
        <f t="shared" ref="G43" si="11">F43+1</f>
        <v>2028</v>
      </c>
      <c r="H43" s="12">
        <f t="shared" ref="H43" si="12">G43+1</f>
        <v>2029</v>
      </c>
      <c r="I43" s="12">
        <f t="shared" ref="I43" si="13">H43+1</f>
        <v>2030</v>
      </c>
      <c r="J43" s="12">
        <f t="shared" ref="J43" si="14">I43+1</f>
        <v>2031</v>
      </c>
      <c r="K43" s="12">
        <f t="shared" ref="K43" si="15">J43+1</f>
        <v>2032</v>
      </c>
      <c r="L43" s="1" t="s">
        <v>28</v>
      </c>
      <c r="N43" s="43" t="str">
        <f>'Summary dashboard'!B16</f>
        <v>2023</v>
      </c>
    </row>
    <row r="44" spans="1:14" x14ac:dyDescent="0.25">
      <c r="A44" s="4" t="s">
        <v>35</v>
      </c>
      <c r="B44" s="32">
        <f>IF($B16*$D16*B31&gt;0,$B16*$D16*B31,INDEX('Data inputs'!$B$29:$G$39,MATCH($A44,'Data inputs'!$A$29:$A$39,0),MATCH($A$1,'Data inputs'!$B$28:$G$28,0)))</f>
        <v>11698219.873201715</v>
      </c>
      <c r="C44" s="32">
        <f>IF($B16*$D16*C31&gt;0,$B16*$D16*C31,INDEX('Data inputs'!$B$29:$G$39,MATCH($A44,'Data inputs'!$A$29:$A$39,0),MATCH($A$1,'Data inputs'!$B$28:$G$28,0)))</f>
        <v>11698219.873201715</v>
      </c>
      <c r="D44" s="32">
        <f>IF($B16*$D16*D31&gt;0,$B16*$D16*D31,INDEX('Data inputs'!$B$29:$G$39,MATCH($A44,'Data inputs'!$A$29:$A$39,0),MATCH($A$1,'Data inputs'!$B$28:$G$28,0)))</f>
        <v>11698219.873201715</v>
      </c>
      <c r="E44" s="32">
        <f>IF($B16*$D16*E31&gt;0,$B16*$D16*E31,INDEX('Data inputs'!$B$29:$G$39,MATCH($A44,'Data inputs'!$A$29:$A$39,0),MATCH($A$1,'Data inputs'!$B$28:$G$28,0)))</f>
        <v>11698219.873201715</v>
      </c>
      <c r="F44" s="32">
        <f>IF($B16*$D16*F31&gt;0,$B16*$D16*F31,INDEX('Data inputs'!$B$29:$G$39,MATCH($A44,'Data inputs'!$A$29:$A$39,0),MATCH($A$1,'Data inputs'!$B$28:$G$28,0)))</f>
        <v>11698219.873201715</v>
      </c>
      <c r="G44" s="32">
        <f>IF($B16*$D16*G31&gt;0,$B16*$D16*G31,INDEX('Data inputs'!$B$29:$G$39,MATCH($A44,'Data inputs'!$A$29:$A$39,0),MATCH($A$1,'Data inputs'!$B$28:$G$28,0)))</f>
        <v>11698219.873201715</v>
      </c>
      <c r="H44" s="32">
        <f>IF($B16*$D16*H31&gt;0,$B16*$D16*H31,INDEX('Data inputs'!$B$29:$G$39,MATCH($A44,'Data inputs'!$A$29:$A$39,0),MATCH($A$1,'Data inputs'!$B$28:$G$28,0)))</f>
        <v>11698219.873201715</v>
      </c>
      <c r="I44" s="32">
        <f>IF($B16*$D16*I31&gt;0,$B16*$D16*I31,INDEX('Data inputs'!$B$29:$G$39,MATCH($A44,'Data inputs'!$A$29:$A$39,0),MATCH($A$1,'Data inputs'!$B$28:$G$28,0)))</f>
        <v>11698219.873201715</v>
      </c>
      <c r="J44" s="32">
        <f>IF($B16*$D16*J31&gt;0,$B16*$D16*J31,INDEX('Data inputs'!$B$29:$G$39,MATCH($A44,'Data inputs'!$A$29:$A$39,0),MATCH($A$1,'Data inputs'!$B$28:$G$28,0)))</f>
        <v>11698219.873201715</v>
      </c>
      <c r="K44" s="32">
        <f>IF($B16*$D16*K31&gt;0,$B16*$D16*K31,INDEX('Data inputs'!$B$29:$G$39,MATCH($A44,'Data inputs'!$A$29:$A$39,0),MATCH($A$1,'Data inputs'!$B$28:$G$28,0)))</f>
        <v>11698219.873201715</v>
      </c>
      <c r="L44" s="5">
        <f t="shared" ref="L44:L54" si="16">AVERAGE(B44:K44)</f>
        <v>11698219.873201715</v>
      </c>
      <c r="N44" s="5">
        <f t="shared" ref="N44:N54" si="17">INDEX(B44:K44,1,MATCH($N$43,$B$43:$K$43,0))</f>
        <v>11698219.873201715</v>
      </c>
    </row>
    <row r="45" spans="1:14" x14ac:dyDescent="0.25">
      <c r="A45" s="4" t="s">
        <v>36</v>
      </c>
      <c r="B45" s="32">
        <f>IF($B17*$D17*B32&gt;0,$B17*$D17*B32,INDEX('Data inputs'!$B$29:$G$39,MATCH($A45,'Data inputs'!$A$29:$A$39,0),MATCH($A$1,'Data inputs'!$B$28:$G$28,0)))</f>
        <v>6412770.1403744603</v>
      </c>
      <c r="C45" s="32">
        <f>IF($B17*$D17*C32&gt;0,$B17*$D17*C32,INDEX('Data inputs'!$B$29:$G$39,MATCH($A45,'Data inputs'!$A$29:$A$39,0),MATCH($A$1,'Data inputs'!$B$28:$G$28,0)))</f>
        <v>6412770.1403744603</v>
      </c>
      <c r="D45" s="32">
        <f>IF($B17*$D17*D32&gt;0,$B17*$D17*D32,INDEX('Data inputs'!$B$29:$G$39,MATCH($A45,'Data inputs'!$A$29:$A$39,0),MATCH($A$1,'Data inputs'!$B$28:$G$28,0)))</f>
        <v>6412770.1403744603</v>
      </c>
      <c r="E45" s="32">
        <f>IF($B17*$D17*E32&gt;0,$B17*$D17*E32,INDEX('Data inputs'!$B$29:$G$39,MATCH($A45,'Data inputs'!$A$29:$A$39,0),MATCH($A$1,'Data inputs'!$B$28:$G$28,0)))</f>
        <v>6412770.1403744603</v>
      </c>
      <c r="F45" s="32">
        <f>IF($B17*$D17*F32&gt;0,$B17*$D17*F32,INDEX('Data inputs'!$B$29:$G$39,MATCH($A45,'Data inputs'!$A$29:$A$39,0),MATCH($A$1,'Data inputs'!$B$28:$G$28,0)))</f>
        <v>6412770.1403744603</v>
      </c>
      <c r="G45" s="32">
        <f>IF($B17*$D17*G32&gt;0,$B17*$D17*G32,INDEX('Data inputs'!$B$29:$G$39,MATCH($A45,'Data inputs'!$A$29:$A$39,0),MATCH($A$1,'Data inputs'!$B$28:$G$28,0)))</f>
        <v>6412770.1403744603</v>
      </c>
      <c r="H45" s="32">
        <f>IF($B17*$D17*H32&gt;0,$B17*$D17*H32,INDEX('Data inputs'!$B$29:$G$39,MATCH($A45,'Data inputs'!$A$29:$A$39,0),MATCH($A$1,'Data inputs'!$B$28:$G$28,0)))</f>
        <v>6412770.1403744603</v>
      </c>
      <c r="I45" s="32">
        <f>IF($B17*$D17*I32&gt;0,$B17*$D17*I32,INDEX('Data inputs'!$B$29:$G$39,MATCH($A45,'Data inputs'!$A$29:$A$39,0),MATCH($A$1,'Data inputs'!$B$28:$G$28,0)))</f>
        <v>6412770.1403744603</v>
      </c>
      <c r="J45" s="32">
        <f>IF($B17*$D17*J32&gt;0,$B17*$D17*J32,INDEX('Data inputs'!$B$29:$G$39,MATCH($A45,'Data inputs'!$A$29:$A$39,0),MATCH($A$1,'Data inputs'!$B$28:$G$28,0)))</f>
        <v>6412770.1403744603</v>
      </c>
      <c r="K45" s="32">
        <f>IF($B17*$D17*K32&gt;0,$B17*$D17*K32,INDEX('Data inputs'!$B$29:$G$39,MATCH($A45,'Data inputs'!$A$29:$A$39,0),MATCH($A$1,'Data inputs'!$B$28:$G$28,0)))</f>
        <v>6412770.1403744603</v>
      </c>
      <c r="L45" s="5">
        <f t="shared" si="16"/>
        <v>6412770.1403744603</v>
      </c>
      <c r="N45" s="5">
        <f t="shared" si="17"/>
        <v>6412770.1403744603</v>
      </c>
    </row>
    <row r="46" spans="1:14" x14ac:dyDescent="0.25">
      <c r="A46" s="4" t="s">
        <v>11</v>
      </c>
      <c r="B46" s="32">
        <f>IF($B18*$D18*B33&gt;0,$B18*$D18*B33,INDEX('Data inputs'!$B$29:$G$39,MATCH($A46,'Data inputs'!$A$29:$A$39,0),MATCH($A$1,'Data inputs'!$B$28:$G$28,0)))</f>
        <v>0</v>
      </c>
      <c r="C46" s="32">
        <f>IF($B18*$D18*C33&gt;0,$B18*$D18*C33,INDEX('Data inputs'!$B$29:$G$39,MATCH($A46,'Data inputs'!$A$29:$A$39,0),MATCH($A$1,'Data inputs'!$B$28:$G$28,0)))</f>
        <v>0</v>
      </c>
      <c r="D46" s="32">
        <f>IF($B18*$D18*D33&gt;0,$B18*$D18*D33,INDEX('Data inputs'!$B$29:$G$39,MATCH($A46,'Data inputs'!$A$29:$A$39,0),MATCH($A$1,'Data inputs'!$B$28:$G$28,0)))</f>
        <v>0</v>
      </c>
      <c r="E46" s="32">
        <f>IF($B18*$D18*E33&gt;0,$B18*$D18*E33,INDEX('Data inputs'!$B$29:$G$39,MATCH($A46,'Data inputs'!$A$29:$A$39,0),MATCH($A$1,'Data inputs'!$B$28:$G$28,0)))</f>
        <v>0</v>
      </c>
      <c r="F46" s="32">
        <f>IF($B18*$D18*F33&gt;0,$B18*$D18*F33,INDEX('Data inputs'!$B$29:$G$39,MATCH($A46,'Data inputs'!$A$29:$A$39,0),MATCH($A$1,'Data inputs'!$B$28:$G$28,0)))</f>
        <v>0</v>
      </c>
      <c r="G46" s="32">
        <f>IF($B18*$D18*G33&gt;0,$B18*$D18*G33,INDEX('Data inputs'!$B$29:$G$39,MATCH($A46,'Data inputs'!$A$29:$A$39,0),MATCH($A$1,'Data inputs'!$B$28:$G$28,0)))</f>
        <v>0</v>
      </c>
      <c r="H46" s="32">
        <f>IF($B18*$D18*H33&gt;0,$B18*$D18*H33,INDEX('Data inputs'!$B$29:$G$39,MATCH($A46,'Data inputs'!$A$29:$A$39,0),MATCH($A$1,'Data inputs'!$B$28:$G$28,0)))</f>
        <v>0</v>
      </c>
      <c r="I46" s="32">
        <f>IF($B18*$D18*I33&gt;0,$B18*$D18*I33,INDEX('Data inputs'!$B$29:$G$39,MATCH($A46,'Data inputs'!$A$29:$A$39,0),MATCH($A$1,'Data inputs'!$B$28:$G$28,0)))</f>
        <v>0</v>
      </c>
      <c r="J46" s="32">
        <f>IF($B18*$D18*J33&gt;0,$B18*$D18*J33,INDEX('Data inputs'!$B$29:$G$39,MATCH($A46,'Data inputs'!$A$29:$A$39,0),MATCH($A$1,'Data inputs'!$B$28:$G$28,0)))</f>
        <v>0</v>
      </c>
      <c r="K46" s="32">
        <f>IF($B18*$D18*K33&gt;0,$B18*$D18*K33,INDEX('Data inputs'!$B$29:$G$39,MATCH($A46,'Data inputs'!$A$29:$A$39,0),MATCH($A$1,'Data inputs'!$B$28:$G$28,0)))</f>
        <v>0</v>
      </c>
      <c r="L46" s="5">
        <f t="shared" si="16"/>
        <v>0</v>
      </c>
      <c r="N46" s="5">
        <f t="shared" si="17"/>
        <v>0</v>
      </c>
    </row>
    <row r="47" spans="1:14" x14ac:dyDescent="0.25">
      <c r="A47" s="4" t="s">
        <v>124</v>
      </c>
      <c r="B47" s="32">
        <f>IF($B19*$D19*B34&gt;0,$B19*$D19*B34,INDEX('Data inputs'!$B$29:$G$39,MATCH($A47,'Data inputs'!$A$29:$A$39,0),MATCH($A$1,'Data inputs'!$B$28:$G$28,0)))</f>
        <v>2761376.1738412236</v>
      </c>
      <c r="C47" s="32">
        <f>IF($B19*$D19*C34&gt;0,$B19*$D19*C34,INDEX('Data inputs'!$B$29:$G$39,MATCH($A47,'Data inputs'!$A$29:$A$39,0),MATCH($A$1,'Data inputs'!$B$28:$G$28,0)))</f>
        <v>2761376.1738412236</v>
      </c>
      <c r="D47" s="32">
        <f>IF($B19*$D19*D34&gt;0,$B19*$D19*D34,INDEX('Data inputs'!$B$29:$G$39,MATCH($A47,'Data inputs'!$A$29:$A$39,0),MATCH($A$1,'Data inputs'!$B$28:$G$28,0)))</f>
        <v>2761376.1738412236</v>
      </c>
      <c r="E47" s="32">
        <f>IF($B19*$D19*E34&gt;0,$B19*$D19*E34,INDEX('Data inputs'!$B$29:$G$39,MATCH($A47,'Data inputs'!$A$29:$A$39,0),MATCH($A$1,'Data inputs'!$B$28:$G$28,0)))</f>
        <v>2761376.1738412236</v>
      </c>
      <c r="F47" s="32">
        <f>IF($B19*$D19*F34&gt;0,$B19*$D19*F34,INDEX('Data inputs'!$B$29:$G$39,MATCH($A47,'Data inputs'!$A$29:$A$39,0),MATCH($A$1,'Data inputs'!$B$28:$G$28,0)))</f>
        <v>2761376.1738412236</v>
      </c>
      <c r="G47" s="32">
        <f>IF($B19*$D19*G34&gt;0,$B19*$D19*G34,INDEX('Data inputs'!$B$29:$G$39,MATCH($A47,'Data inputs'!$A$29:$A$39,0),MATCH($A$1,'Data inputs'!$B$28:$G$28,0)))</f>
        <v>2761376.1738412236</v>
      </c>
      <c r="H47" s="32">
        <f>IF($B19*$D19*H34&gt;0,$B19*$D19*H34,INDEX('Data inputs'!$B$29:$G$39,MATCH($A47,'Data inputs'!$A$29:$A$39,0),MATCH($A$1,'Data inputs'!$B$28:$G$28,0)))</f>
        <v>2761376.1738412236</v>
      </c>
      <c r="I47" s="32">
        <f>IF($B19*$D19*I34&gt;0,$B19*$D19*I34,INDEX('Data inputs'!$B$29:$G$39,MATCH($A47,'Data inputs'!$A$29:$A$39,0),MATCH($A$1,'Data inputs'!$B$28:$G$28,0)))</f>
        <v>2761376.1738412236</v>
      </c>
      <c r="J47" s="32">
        <f>IF($B19*$D19*J34&gt;0,$B19*$D19*J34,INDEX('Data inputs'!$B$29:$G$39,MATCH($A47,'Data inputs'!$A$29:$A$39,0),MATCH($A$1,'Data inputs'!$B$28:$G$28,0)))</f>
        <v>2761376.1738412236</v>
      </c>
      <c r="K47" s="32">
        <f>IF($B19*$D19*K34&gt;0,$B19*$D19*K34,INDEX('Data inputs'!$B$29:$G$39,MATCH($A47,'Data inputs'!$A$29:$A$39,0),MATCH($A$1,'Data inputs'!$B$28:$G$28,0)))</f>
        <v>2761376.1738412236</v>
      </c>
      <c r="L47" s="5">
        <f t="shared" si="16"/>
        <v>2761376.1738412236</v>
      </c>
      <c r="N47" s="5">
        <f t="shared" si="17"/>
        <v>2761376.1738412236</v>
      </c>
    </row>
    <row r="48" spans="1:14" x14ac:dyDescent="0.25">
      <c r="A48" s="4" t="s">
        <v>12</v>
      </c>
      <c r="B48" s="32">
        <f>IF($B20*$D20*B35&gt;0,$B20*$D20*B35,INDEX('Data inputs'!$B$29:$G$39,MATCH($A48,'Data inputs'!$A$29:$A$39,0),MATCH($A$1,'Data inputs'!$B$28:$G$28,0)))</f>
        <v>36876671.029249556</v>
      </c>
      <c r="C48" s="32">
        <f>IF($B20*$D20*C35&gt;0,$B20*$D20*C35,INDEX('Data inputs'!$B$29:$G$39,MATCH($A48,'Data inputs'!$A$29:$A$39,0),MATCH($A$1,'Data inputs'!$B$28:$G$28,0)))</f>
        <v>36876671.029249556</v>
      </c>
      <c r="D48" s="32">
        <f>IF($B20*$D20*D35&gt;0,$B20*$D20*D35,INDEX('Data inputs'!$B$29:$G$39,MATCH($A48,'Data inputs'!$A$29:$A$39,0),MATCH($A$1,'Data inputs'!$B$28:$G$28,0)))</f>
        <v>36876671.029249556</v>
      </c>
      <c r="E48" s="32">
        <f>IF($B20*$D20*E35&gt;0,$B20*$D20*E35,INDEX('Data inputs'!$B$29:$G$39,MATCH($A48,'Data inputs'!$A$29:$A$39,0),MATCH($A$1,'Data inputs'!$B$28:$G$28,0)))</f>
        <v>36876671.029249556</v>
      </c>
      <c r="F48" s="32">
        <f>IF($B20*$D20*F35&gt;0,$B20*$D20*F35,INDEX('Data inputs'!$B$29:$G$39,MATCH($A48,'Data inputs'!$A$29:$A$39,0),MATCH($A$1,'Data inputs'!$B$28:$G$28,0)))</f>
        <v>36876671.029249556</v>
      </c>
      <c r="G48" s="32">
        <f>IF($B20*$D20*G35&gt;0,$B20*$D20*G35,INDEX('Data inputs'!$B$29:$G$39,MATCH($A48,'Data inputs'!$A$29:$A$39,0),MATCH($A$1,'Data inputs'!$B$28:$G$28,0)))</f>
        <v>36876671.029249556</v>
      </c>
      <c r="H48" s="32">
        <f>IF($B20*$D20*H35&gt;0,$B20*$D20*H35,INDEX('Data inputs'!$B$29:$G$39,MATCH($A48,'Data inputs'!$A$29:$A$39,0),MATCH($A$1,'Data inputs'!$B$28:$G$28,0)))</f>
        <v>36876671.029249556</v>
      </c>
      <c r="I48" s="32">
        <f>IF($B20*$D20*I35&gt;0,$B20*$D20*I35,INDEX('Data inputs'!$B$29:$G$39,MATCH($A48,'Data inputs'!$A$29:$A$39,0),MATCH($A$1,'Data inputs'!$B$28:$G$28,0)))</f>
        <v>36876671.029249556</v>
      </c>
      <c r="J48" s="32">
        <f>IF($B20*$D20*J35&gt;0,$B20*$D20*J35,INDEX('Data inputs'!$B$29:$G$39,MATCH($A48,'Data inputs'!$A$29:$A$39,0),MATCH($A$1,'Data inputs'!$B$28:$G$28,0)))</f>
        <v>36876671.029249556</v>
      </c>
      <c r="K48" s="32">
        <f>IF($B20*$D20*K35&gt;0,$B20*$D20*K35,INDEX('Data inputs'!$B$29:$G$39,MATCH($A48,'Data inputs'!$A$29:$A$39,0),MATCH($A$1,'Data inputs'!$B$28:$G$28,0)))</f>
        <v>36876671.029249556</v>
      </c>
      <c r="L48" s="5">
        <f t="shared" si="16"/>
        <v>36876671.029249556</v>
      </c>
      <c r="N48" s="5">
        <f t="shared" si="17"/>
        <v>36876671.029249556</v>
      </c>
    </row>
    <row r="49" spans="1:14" x14ac:dyDescent="0.25">
      <c r="A49" s="4" t="s">
        <v>13</v>
      </c>
      <c r="B49" s="32">
        <f>IF($B21*$D21*B36&gt;0,$B21*$D21*B36,INDEX('Data inputs'!$B$29:$G$39,MATCH($A49,'Data inputs'!$A$29:$A$39,0),MATCH($A$1,'Data inputs'!$B$28:$G$28,0)))</f>
        <v>0</v>
      </c>
      <c r="C49" s="32">
        <f>IF($B21*$D21*C36&gt;0,$B21*$D21*C36,INDEX('Data inputs'!$B$29:$G$39,MATCH($A49,'Data inputs'!$A$29:$A$39,0),MATCH($A$1,'Data inputs'!$B$28:$G$28,0)))</f>
        <v>0</v>
      </c>
      <c r="D49" s="32">
        <f>IF($B21*$D21*D36&gt;0,$B21*$D21*D36,INDEX('Data inputs'!$B$29:$G$39,MATCH($A49,'Data inputs'!$A$29:$A$39,0),MATCH($A$1,'Data inputs'!$B$28:$G$28,0)))</f>
        <v>0</v>
      </c>
      <c r="E49" s="32">
        <f>IF($B21*$D21*E36&gt;0,$B21*$D21*E36,INDEX('Data inputs'!$B$29:$G$39,MATCH($A49,'Data inputs'!$A$29:$A$39,0),MATCH($A$1,'Data inputs'!$B$28:$G$28,0)))</f>
        <v>0</v>
      </c>
      <c r="F49" s="32">
        <f>IF($B21*$D21*F36&gt;0,$B21*$D21*F36,INDEX('Data inputs'!$B$29:$G$39,MATCH($A49,'Data inputs'!$A$29:$A$39,0),MATCH($A$1,'Data inputs'!$B$28:$G$28,0)))</f>
        <v>0</v>
      </c>
      <c r="G49" s="32">
        <f>IF($B21*$D21*G36&gt;0,$B21*$D21*G36,INDEX('Data inputs'!$B$29:$G$39,MATCH($A49,'Data inputs'!$A$29:$A$39,0),MATCH($A$1,'Data inputs'!$B$28:$G$28,0)))</f>
        <v>0</v>
      </c>
      <c r="H49" s="32">
        <f>IF($B21*$D21*H36&gt;0,$B21*$D21*H36,INDEX('Data inputs'!$B$29:$G$39,MATCH($A49,'Data inputs'!$A$29:$A$39,0),MATCH($A$1,'Data inputs'!$B$28:$G$28,0)))</f>
        <v>0</v>
      </c>
      <c r="I49" s="32">
        <f>IF($B21*$D21*I36&gt;0,$B21*$D21*I36,INDEX('Data inputs'!$B$29:$G$39,MATCH($A49,'Data inputs'!$A$29:$A$39,0),MATCH($A$1,'Data inputs'!$B$28:$G$28,0)))</f>
        <v>0</v>
      </c>
      <c r="J49" s="32">
        <f>IF($B21*$D21*J36&gt;0,$B21*$D21*J36,INDEX('Data inputs'!$B$29:$G$39,MATCH($A49,'Data inputs'!$A$29:$A$39,0),MATCH($A$1,'Data inputs'!$B$28:$G$28,0)))</f>
        <v>0</v>
      </c>
      <c r="K49" s="32">
        <f>IF($B21*$D21*K36&gt;0,$B21*$D21*K36,INDEX('Data inputs'!$B$29:$G$39,MATCH($A49,'Data inputs'!$A$29:$A$39,0),MATCH($A$1,'Data inputs'!$B$28:$G$28,0)))</f>
        <v>0</v>
      </c>
      <c r="L49" s="5">
        <f t="shared" si="16"/>
        <v>0</v>
      </c>
      <c r="N49" s="5">
        <f t="shared" si="17"/>
        <v>0</v>
      </c>
    </row>
    <row r="50" spans="1:14" x14ac:dyDescent="0.25">
      <c r="A50" s="4" t="s">
        <v>14</v>
      </c>
      <c r="B50" s="32">
        <f>IF($B22*$D22*B37&gt;0,$B22*$D22*B37,INDEX('Data inputs'!$B$29:$G$39,MATCH($A50,'Data inputs'!$A$29:$A$39,0),MATCH($A$1,'Data inputs'!$B$28:$G$28,0)))</f>
        <v>0</v>
      </c>
      <c r="C50" s="32">
        <f>IF($B22*$D22*C37&gt;0,$B22*$D22*C37,INDEX('Data inputs'!$B$29:$G$39,MATCH($A50,'Data inputs'!$A$29:$A$39,0),MATCH($A$1,'Data inputs'!$B$28:$G$28,0)))</f>
        <v>0</v>
      </c>
      <c r="D50" s="32">
        <f>IF($B22*$D22*D37&gt;0,$B22*$D22*D37,INDEX('Data inputs'!$B$29:$G$39,MATCH($A50,'Data inputs'!$A$29:$A$39,0),MATCH($A$1,'Data inputs'!$B$28:$G$28,0)))</f>
        <v>0</v>
      </c>
      <c r="E50" s="32">
        <f>IF($B22*$D22*E37&gt;0,$B22*$D22*E37,INDEX('Data inputs'!$B$29:$G$39,MATCH($A50,'Data inputs'!$A$29:$A$39,0),MATCH($A$1,'Data inputs'!$B$28:$G$28,0)))</f>
        <v>0</v>
      </c>
      <c r="F50" s="32">
        <f>IF($B22*$D22*F37&gt;0,$B22*$D22*F37,INDEX('Data inputs'!$B$29:$G$39,MATCH($A50,'Data inputs'!$A$29:$A$39,0),MATCH($A$1,'Data inputs'!$B$28:$G$28,0)))</f>
        <v>0</v>
      </c>
      <c r="G50" s="32">
        <f>IF($B22*$D22*G37&gt;0,$B22*$D22*G37,INDEX('Data inputs'!$B$29:$G$39,MATCH($A50,'Data inputs'!$A$29:$A$39,0),MATCH($A$1,'Data inputs'!$B$28:$G$28,0)))</f>
        <v>0</v>
      </c>
      <c r="H50" s="32">
        <f>IF($B22*$D22*H37&gt;0,$B22*$D22*H37,INDEX('Data inputs'!$B$29:$G$39,MATCH($A50,'Data inputs'!$A$29:$A$39,0),MATCH($A$1,'Data inputs'!$B$28:$G$28,0)))</f>
        <v>0</v>
      </c>
      <c r="I50" s="32">
        <f>IF($B22*$D22*I37&gt;0,$B22*$D22*I37,INDEX('Data inputs'!$B$29:$G$39,MATCH($A50,'Data inputs'!$A$29:$A$39,0),MATCH($A$1,'Data inputs'!$B$28:$G$28,0)))</f>
        <v>0</v>
      </c>
      <c r="J50" s="32">
        <f>IF($B22*$D22*J37&gt;0,$B22*$D22*J37,INDEX('Data inputs'!$B$29:$G$39,MATCH($A50,'Data inputs'!$A$29:$A$39,0),MATCH($A$1,'Data inputs'!$B$28:$G$28,0)))</f>
        <v>0</v>
      </c>
      <c r="K50" s="32">
        <f>IF($B22*$D22*K37&gt;0,$B22*$D22*K37,INDEX('Data inputs'!$B$29:$G$39,MATCH($A50,'Data inputs'!$A$29:$A$39,0),MATCH($A$1,'Data inputs'!$B$28:$G$28,0)))</f>
        <v>0</v>
      </c>
      <c r="L50" s="5">
        <f t="shared" si="16"/>
        <v>0</v>
      </c>
      <c r="N50" s="5">
        <f t="shared" si="17"/>
        <v>0</v>
      </c>
    </row>
    <row r="51" spans="1:14" x14ac:dyDescent="0.25">
      <c r="A51" s="4" t="s">
        <v>125</v>
      </c>
      <c r="B51" s="32">
        <f>IF($B23*$D23*B38&gt;0,$B23*$D23*B38,INDEX('Data inputs'!$B$29:$G$39,MATCH($A51,'Data inputs'!$A$29:$A$39,0),MATCH($A$1,'Data inputs'!$B$28:$G$28,0)))</f>
        <v>1219575.5475191686</v>
      </c>
      <c r="C51" s="32">
        <f>IF($B23*$D23*C38&gt;0,$B23*$D23*C38,INDEX('Data inputs'!$B$29:$G$39,MATCH($A51,'Data inputs'!$A$29:$A$39,0),MATCH($A$1,'Data inputs'!$B$28:$G$28,0)))</f>
        <v>1219575.5475191686</v>
      </c>
      <c r="D51" s="32">
        <f>IF($B23*$D23*D38&gt;0,$B23*$D23*D38,INDEX('Data inputs'!$B$29:$G$39,MATCH($A51,'Data inputs'!$A$29:$A$39,0),MATCH($A$1,'Data inputs'!$B$28:$G$28,0)))</f>
        <v>1219575.5475191686</v>
      </c>
      <c r="E51" s="32">
        <f>IF($B23*$D23*E38&gt;0,$B23*$D23*E38,INDEX('Data inputs'!$B$29:$G$39,MATCH($A51,'Data inputs'!$A$29:$A$39,0),MATCH($A$1,'Data inputs'!$B$28:$G$28,0)))</f>
        <v>1219575.5475191686</v>
      </c>
      <c r="F51" s="32">
        <f>IF($B23*$D23*F38&gt;0,$B23*$D23*F38,INDEX('Data inputs'!$B$29:$G$39,MATCH($A51,'Data inputs'!$A$29:$A$39,0),MATCH($A$1,'Data inputs'!$B$28:$G$28,0)))</f>
        <v>1219575.5475191686</v>
      </c>
      <c r="G51" s="32">
        <f>IF($B23*$D23*G38&gt;0,$B23*$D23*G38,INDEX('Data inputs'!$B$29:$G$39,MATCH($A51,'Data inputs'!$A$29:$A$39,0),MATCH($A$1,'Data inputs'!$B$28:$G$28,0)))</f>
        <v>1219575.5475191686</v>
      </c>
      <c r="H51" s="32">
        <f>IF($B23*$D23*H38&gt;0,$B23*$D23*H38,INDEX('Data inputs'!$B$29:$G$39,MATCH($A51,'Data inputs'!$A$29:$A$39,0),MATCH($A$1,'Data inputs'!$B$28:$G$28,0)))</f>
        <v>1219575.5475191686</v>
      </c>
      <c r="I51" s="32">
        <f>IF($B23*$D23*I38&gt;0,$B23*$D23*I38,INDEX('Data inputs'!$B$29:$G$39,MATCH($A51,'Data inputs'!$A$29:$A$39,0),MATCH($A$1,'Data inputs'!$B$28:$G$28,0)))</f>
        <v>1219575.5475191686</v>
      </c>
      <c r="J51" s="32">
        <f>IF($B23*$D23*J38&gt;0,$B23*$D23*J38,INDEX('Data inputs'!$B$29:$G$39,MATCH($A51,'Data inputs'!$A$29:$A$39,0),MATCH($A$1,'Data inputs'!$B$28:$G$28,0)))</f>
        <v>1219575.5475191686</v>
      </c>
      <c r="K51" s="32">
        <f>IF($B23*$D23*K38&gt;0,$B23*$D23*K38,INDEX('Data inputs'!$B$29:$G$39,MATCH($A51,'Data inputs'!$A$29:$A$39,0),MATCH($A$1,'Data inputs'!$B$28:$G$28,0)))</f>
        <v>1219575.5475191686</v>
      </c>
      <c r="L51" s="5">
        <f t="shared" si="16"/>
        <v>1219575.5475191684</v>
      </c>
      <c r="N51" s="5">
        <f t="shared" si="17"/>
        <v>1219575.5475191686</v>
      </c>
    </row>
    <row r="52" spans="1:14" x14ac:dyDescent="0.25">
      <c r="A52" s="4" t="s">
        <v>37</v>
      </c>
      <c r="B52" s="32">
        <f>IF($B24*$D24*B39&gt;0,$B24*$D24*B39,INDEX('Data inputs'!$B$29:$G$39,MATCH($A52,'Data inputs'!$A$29:$A$39,0),MATCH($A$1,'Data inputs'!$B$28:$G$28,0)))</f>
        <v>35474253.006013513</v>
      </c>
      <c r="C52" s="32">
        <f>IF($B24*$D24*C39&gt;0,$B24*$D24*C39,INDEX('Data inputs'!$B$29:$G$39,MATCH($A52,'Data inputs'!$A$29:$A$39,0),MATCH($A$1,'Data inputs'!$B$28:$G$28,0)))</f>
        <v>35474253.006013513</v>
      </c>
      <c r="D52" s="32">
        <f>IF($B24*$D24*D39&gt;0,$B24*$D24*D39,INDEX('Data inputs'!$B$29:$G$39,MATCH($A52,'Data inputs'!$A$29:$A$39,0),MATCH($A$1,'Data inputs'!$B$28:$G$28,0)))</f>
        <v>35474253.006013513</v>
      </c>
      <c r="E52" s="32">
        <f>IF($B24*$D24*E39&gt;0,$B24*$D24*E39,INDEX('Data inputs'!$B$29:$G$39,MATCH($A52,'Data inputs'!$A$29:$A$39,0),MATCH($A$1,'Data inputs'!$B$28:$G$28,0)))</f>
        <v>35474253.006013513</v>
      </c>
      <c r="F52" s="32">
        <f>IF($B24*$D24*F39&gt;0,$B24*$D24*F39,INDEX('Data inputs'!$B$29:$G$39,MATCH($A52,'Data inputs'!$A$29:$A$39,0),MATCH($A$1,'Data inputs'!$B$28:$G$28,0)))</f>
        <v>35474253.006013513</v>
      </c>
      <c r="G52" s="32">
        <f>IF($B24*$D24*G39&gt;0,$B24*$D24*G39,INDEX('Data inputs'!$B$29:$G$39,MATCH($A52,'Data inputs'!$A$29:$A$39,0),MATCH($A$1,'Data inputs'!$B$28:$G$28,0)))</f>
        <v>35474253.006013513</v>
      </c>
      <c r="H52" s="32">
        <f>IF($B24*$D24*H39&gt;0,$B24*$D24*H39,INDEX('Data inputs'!$B$29:$G$39,MATCH($A52,'Data inputs'!$A$29:$A$39,0),MATCH($A$1,'Data inputs'!$B$28:$G$28,0)))</f>
        <v>35474253.006013513</v>
      </c>
      <c r="I52" s="32">
        <f>IF($B24*$D24*I39&gt;0,$B24*$D24*I39,INDEX('Data inputs'!$B$29:$G$39,MATCH($A52,'Data inputs'!$A$29:$A$39,0),MATCH($A$1,'Data inputs'!$B$28:$G$28,0)))</f>
        <v>35474253.006013513</v>
      </c>
      <c r="J52" s="32">
        <f>IF($B24*$D24*J39&gt;0,$B24*$D24*J39,INDEX('Data inputs'!$B$29:$G$39,MATCH($A52,'Data inputs'!$A$29:$A$39,0),MATCH($A$1,'Data inputs'!$B$28:$G$28,0)))</f>
        <v>35474253.006013513</v>
      </c>
      <c r="K52" s="32">
        <f>IF($B24*$D24*K39&gt;0,$B24*$D24*K39,INDEX('Data inputs'!$B$29:$G$39,MATCH($A52,'Data inputs'!$A$29:$A$39,0),MATCH($A$1,'Data inputs'!$B$28:$G$28,0)))</f>
        <v>35474253.006013513</v>
      </c>
      <c r="L52" s="5">
        <f t="shared" si="16"/>
        <v>35474253.006013513</v>
      </c>
      <c r="N52" s="5">
        <f t="shared" si="17"/>
        <v>35474253.006013513</v>
      </c>
    </row>
    <row r="53" spans="1:14" x14ac:dyDescent="0.25">
      <c r="A53" s="4" t="s">
        <v>38</v>
      </c>
      <c r="B53" s="32">
        <f>IF($B25*$D25*B40&gt;0,$B25*$D25*B40,INDEX('Data inputs'!$B$29:$G$39,MATCH($A53,'Data inputs'!$A$29:$A$39,0),MATCH($A$1,'Data inputs'!$B$28:$G$28,0)))</f>
        <v>4755406.0811810251</v>
      </c>
      <c r="C53" s="32">
        <f>IF($B25*$D25*C40&gt;0,$B25*$D25*C40,INDEX('Data inputs'!$B$29:$G$39,MATCH($A53,'Data inputs'!$A$29:$A$39,0),MATCH($A$1,'Data inputs'!$B$28:$G$28,0)))</f>
        <v>4755406.0811810251</v>
      </c>
      <c r="D53" s="32">
        <f>IF($B25*$D25*D40&gt;0,$B25*$D25*D40,INDEX('Data inputs'!$B$29:$G$39,MATCH($A53,'Data inputs'!$A$29:$A$39,0),MATCH($A$1,'Data inputs'!$B$28:$G$28,0)))</f>
        <v>4755406.0811810251</v>
      </c>
      <c r="E53" s="32">
        <f>IF($B25*$D25*E40&gt;0,$B25*$D25*E40,INDEX('Data inputs'!$B$29:$G$39,MATCH($A53,'Data inputs'!$A$29:$A$39,0),MATCH($A$1,'Data inputs'!$B$28:$G$28,0)))</f>
        <v>4755406.0811810251</v>
      </c>
      <c r="F53" s="32">
        <f>IF($B25*$D25*F40&gt;0,$B25*$D25*F40,INDEX('Data inputs'!$B$29:$G$39,MATCH($A53,'Data inputs'!$A$29:$A$39,0),MATCH($A$1,'Data inputs'!$B$28:$G$28,0)))</f>
        <v>4755406.0811810251</v>
      </c>
      <c r="G53" s="32">
        <f>IF($B25*$D25*G40&gt;0,$B25*$D25*G40,INDEX('Data inputs'!$B$29:$G$39,MATCH($A53,'Data inputs'!$A$29:$A$39,0),MATCH($A$1,'Data inputs'!$B$28:$G$28,0)))</f>
        <v>4755406.0811810251</v>
      </c>
      <c r="H53" s="32">
        <f>IF($B25*$D25*H40&gt;0,$B25*$D25*H40,INDEX('Data inputs'!$B$29:$G$39,MATCH($A53,'Data inputs'!$A$29:$A$39,0),MATCH($A$1,'Data inputs'!$B$28:$G$28,0)))</f>
        <v>4755406.0811810251</v>
      </c>
      <c r="I53" s="32">
        <f>IF($B25*$D25*I40&gt;0,$B25*$D25*I40,INDEX('Data inputs'!$B$29:$G$39,MATCH($A53,'Data inputs'!$A$29:$A$39,0),MATCH($A$1,'Data inputs'!$B$28:$G$28,0)))</f>
        <v>4755406.0811810251</v>
      </c>
      <c r="J53" s="32">
        <f>IF($B25*$D25*J40&gt;0,$B25*$D25*J40,INDEX('Data inputs'!$B$29:$G$39,MATCH($A53,'Data inputs'!$A$29:$A$39,0),MATCH($A$1,'Data inputs'!$B$28:$G$28,0)))</f>
        <v>4755406.0811810251</v>
      </c>
      <c r="K53" s="32">
        <f>IF($B25*$D25*K40&gt;0,$B25*$D25*K40,INDEX('Data inputs'!$B$29:$G$39,MATCH($A53,'Data inputs'!$A$29:$A$39,0),MATCH($A$1,'Data inputs'!$B$28:$G$28,0)))</f>
        <v>4755406.0811810251</v>
      </c>
      <c r="L53" s="5">
        <f t="shared" si="16"/>
        <v>4755406.0811810261</v>
      </c>
      <c r="N53" s="5">
        <f t="shared" si="17"/>
        <v>4755406.0811810251</v>
      </c>
    </row>
    <row r="54" spans="1:14" x14ac:dyDescent="0.25">
      <c r="A54" s="4" t="s">
        <v>15</v>
      </c>
      <c r="B54" s="13">
        <f>IF($B26*$D26*B41&gt;0,$B26*$D26*B41,INDEX('Data inputs'!$B$29:$G$39,MATCH($A54,'Data inputs'!$A$29:$A$39,0),MATCH($A$1,'Data inputs'!$B$28:$G$28,0)))</f>
        <v>41143054.976012312</v>
      </c>
      <c r="C54" s="13">
        <f>IF($B26*$D26*C41&gt;0,$B26*$D26*C41,INDEX('Data inputs'!$B$29:$G$39,MATCH($A54,'Data inputs'!$A$29:$A$39,0),MATCH($A$1,'Data inputs'!$B$28:$G$28,0)))</f>
        <v>41143054.976012312</v>
      </c>
      <c r="D54" s="13">
        <f>IF($B26*$D26*D41&gt;0,$B26*$D26*D41,INDEX('Data inputs'!$B$29:$G$39,MATCH($A54,'Data inputs'!$A$29:$A$39,0),MATCH($A$1,'Data inputs'!$B$28:$G$28,0)))</f>
        <v>41143054.976012312</v>
      </c>
      <c r="E54" s="13">
        <f>IF($B26*$D26*E41&gt;0,$B26*$D26*E41,INDEX('Data inputs'!$B$29:$G$39,MATCH($A54,'Data inputs'!$A$29:$A$39,0),MATCH($A$1,'Data inputs'!$B$28:$G$28,0)))</f>
        <v>41143054.976012312</v>
      </c>
      <c r="F54" s="13">
        <f>IF($B26*$D26*F41&gt;0,$B26*$D26*F41,INDEX('Data inputs'!$B$29:$G$39,MATCH($A54,'Data inputs'!$A$29:$A$39,0),MATCH($A$1,'Data inputs'!$B$28:$G$28,0)))</f>
        <v>41143054.976012312</v>
      </c>
      <c r="G54" s="13">
        <f>IF($B26*$D26*G41&gt;0,$B26*$D26*G41,INDEX('Data inputs'!$B$29:$G$39,MATCH($A54,'Data inputs'!$A$29:$A$39,0),MATCH($A$1,'Data inputs'!$B$28:$G$28,0)))</f>
        <v>41143054.976012312</v>
      </c>
      <c r="H54" s="13">
        <f>IF($B26*$D26*H41&gt;0,$B26*$D26*H41,INDEX('Data inputs'!$B$29:$G$39,MATCH($A54,'Data inputs'!$A$29:$A$39,0),MATCH($A$1,'Data inputs'!$B$28:$G$28,0)))</f>
        <v>41143054.976012312</v>
      </c>
      <c r="I54" s="13">
        <f>IF($B26*$D26*I41&gt;0,$B26*$D26*I41,INDEX('Data inputs'!$B$29:$G$39,MATCH($A54,'Data inputs'!$A$29:$A$39,0),MATCH($A$1,'Data inputs'!$B$28:$G$28,0)))</f>
        <v>41143054.976012312</v>
      </c>
      <c r="J54" s="13">
        <f>IF($B26*$D26*J41&gt;0,$B26*$D26*J41,INDEX('Data inputs'!$B$29:$G$39,MATCH($A54,'Data inputs'!$A$29:$A$39,0),MATCH($A$1,'Data inputs'!$B$28:$G$28,0)))</f>
        <v>41143054.976012312</v>
      </c>
      <c r="K54" s="13">
        <f>IF($B26*$D26*K41&gt;0,$B26*$D26*K41,INDEX('Data inputs'!$B$29:$G$39,MATCH($A54,'Data inputs'!$A$29:$A$39,0),MATCH($A$1,'Data inputs'!$B$28:$G$28,0)))</f>
        <v>41143054.976012312</v>
      </c>
      <c r="L54" s="5">
        <f t="shared" si="16"/>
        <v>41143054.976012304</v>
      </c>
      <c r="N54" s="5">
        <f t="shared" si="17"/>
        <v>41143054.976012312</v>
      </c>
    </row>
    <row r="55" spans="1:14" x14ac:dyDescent="0.25">
      <c r="B55" s="5">
        <f t="shared" ref="B55:K55" si="18">SUM(B44:B54)</f>
        <v>140341326.82739297</v>
      </c>
      <c r="C55" s="5">
        <f t="shared" si="18"/>
        <v>140341326.82739297</v>
      </c>
      <c r="D55" s="5">
        <f t="shared" si="18"/>
        <v>140341326.82739297</v>
      </c>
      <c r="E55" s="5">
        <f t="shared" si="18"/>
        <v>140341326.82739297</v>
      </c>
      <c r="F55" s="5">
        <f t="shared" si="18"/>
        <v>140341326.82739297</v>
      </c>
      <c r="G55" s="5">
        <f t="shared" si="18"/>
        <v>140341326.82739297</v>
      </c>
      <c r="H55" s="5">
        <f t="shared" si="18"/>
        <v>140341326.82739297</v>
      </c>
      <c r="I55" s="5">
        <f t="shared" si="18"/>
        <v>140341326.82739297</v>
      </c>
      <c r="J55" s="5">
        <f t="shared" si="18"/>
        <v>140341326.82739297</v>
      </c>
      <c r="K55" s="5">
        <f t="shared" si="18"/>
        <v>140341326.82739297</v>
      </c>
      <c r="L55" s="5"/>
    </row>
    <row r="56" spans="1:14" x14ac:dyDescent="0.25">
      <c r="B56" s="5"/>
      <c r="C56" s="5"/>
      <c r="D56" s="5"/>
      <c r="E56" s="5"/>
      <c r="F56" s="5"/>
      <c r="G56" s="5"/>
      <c r="H56" s="5"/>
      <c r="I56" s="5"/>
      <c r="J56" s="5"/>
      <c r="K56" s="5"/>
      <c r="L56" s="5"/>
    </row>
    <row r="57" spans="1:14" s="1" customFormat="1" ht="30" x14ac:dyDescent="0.25">
      <c r="A57" s="15" t="s">
        <v>56</v>
      </c>
      <c r="B57" s="12" t="str">
        <f>'Summary dashboard'!C4</f>
        <v>2023</v>
      </c>
      <c r="C57" s="12">
        <f t="shared" ref="C57:K57" si="19">B57+1</f>
        <v>2024</v>
      </c>
      <c r="D57" s="12">
        <f t="shared" si="19"/>
        <v>2025</v>
      </c>
      <c r="E57" s="12">
        <f t="shared" si="19"/>
        <v>2026</v>
      </c>
      <c r="F57" s="12">
        <f t="shared" si="19"/>
        <v>2027</v>
      </c>
      <c r="G57" s="12">
        <f t="shared" si="19"/>
        <v>2028</v>
      </c>
      <c r="H57" s="12">
        <f t="shared" si="19"/>
        <v>2029</v>
      </c>
      <c r="I57" s="12">
        <f t="shared" si="19"/>
        <v>2030</v>
      </c>
      <c r="J57" s="12">
        <f t="shared" si="19"/>
        <v>2031</v>
      </c>
      <c r="K57" s="12">
        <f t="shared" si="19"/>
        <v>2032</v>
      </c>
      <c r="L57" s="1" t="s">
        <v>28</v>
      </c>
    </row>
    <row r="58" spans="1:14" x14ac:dyDescent="0.25">
      <c r="A58" s="4" t="s">
        <v>35</v>
      </c>
      <c r="B58" s="5">
        <f>B44*'Data inputs'!$B14</f>
        <v>9007629.3023653198</v>
      </c>
      <c r="C58" s="5">
        <f>C44*'Data inputs'!$B14</f>
        <v>9007629.3023653198</v>
      </c>
      <c r="D58" s="5">
        <f>D44*'Data inputs'!$B14</f>
        <v>9007629.3023653198</v>
      </c>
      <c r="E58" s="5">
        <f>E44*'Data inputs'!$B14</f>
        <v>9007629.3023653198</v>
      </c>
      <c r="F58" s="5">
        <f>F44*'Data inputs'!$B14</f>
        <v>9007629.3023653198</v>
      </c>
      <c r="G58" s="5">
        <f>G44*'Data inputs'!$B14</f>
        <v>9007629.3023653198</v>
      </c>
      <c r="H58" s="5">
        <f>H44*'Data inputs'!$B14</f>
        <v>9007629.3023653198</v>
      </c>
      <c r="I58" s="5">
        <f>I44*'Data inputs'!$B14</f>
        <v>9007629.3023653198</v>
      </c>
      <c r="J58" s="5">
        <f>J44*'Data inputs'!$B14</f>
        <v>9007629.3023653198</v>
      </c>
      <c r="K58" s="5">
        <f>K44*'Data inputs'!$B14</f>
        <v>9007629.3023653198</v>
      </c>
      <c r="L58" s="5">
        <f t="shared" ref="L58:L68" si="20">AVERAGE(B58:K58)</f>
        <v>9007629.3023653198</v>
      </c>
    </row>
    <row r="59" spans="1:14" x14ac:dyDescent="0.25">
      <c r="A59" s="4" t="s">
        <v>36</v>
      </c>
      <c r="B59" s="5">
        <f>B45*'Data inputs'!$B15</f>
        <v>1923831.0421123384</v>
      </c>
      <c r="C59" s="5">
        <f>C45*'Data inputs'!$B15</f>
        <v>1923831.0421123384</v>
      </c>
      <c r="D59" s="5">
        <f>D45*'Data inputs'!$B15</f>
        <v>1923831.0421123384</v>
      </c>
      <c r="E59" s="5">
        <f>E45*'Data inputs'!$B15</f>
        <v>1923831.0421123384</v>
      </c>
      <c r="F59" s="5">
        <f>F45*'Data inputs'!$B15</f>
        <v>1923831.0421123384</v>
      </c>
      <c r="G59" s="5">
        <f>G45*'Data inputs'!$B15</f>
        <v>1923831.0421123384</v>
      </c>
      <c r="H59" s="5">
        <f>H45*'Data inputs'!$B15</f>
        <v>1923831.0421123384</v>
      </c>
      <c r="I59" s="5">
        <f>I45*'Data inputs'!$B15</f>
        <v>1923831.0421123384</v>
      </c>
      <c r="J59" s="5">
        <f>J45*'Data inputs'!$B15</f>
        <v>1923831.0421123384</v>
      </c>
      <c r="K59" s="5">
        <f>K45*'Data inputs'!$B15</f>
        <v>1923831.0421123384</v>
      </c>
      <c r="L59" s="5">
        <f t="shared" si="20"/>
        <v>1923831.0421123388</v>
      </c>
    </row>
    <row r="60" spans="1:14" x14ac:dyDescent="0.25">
      <c r="A60" s="4" t="s">
        <v>11</v>
      </c>
      <c r="B60" s="5">
        <f>B46*'Data inputs'!$B16</f>
        <v>0</v>
      </c>
      <c r="C60" s="5">
        <f>C46*'Data inputs'!$B16</f>
        <v>0</v>
      </c>
      <c r="D60" s="5">
        <f>D46*'Data inputs'!$B16</f>
        <v>0</v>
      </c>
      <c r="E60" s="5">
        <f>E46*'Data inputs'!$B16</f>
        <v>0</v>
      </c>
      <c r="F60" s="5">
        <f>F46*'Data inputs'!$B16</f>
        <v>0</v>
      </c>
      <c r="G60" s="5">
        <f>G46*'Data inputs'!$B16</f>
        <v>0</v>
      </c>
      <c r="H60" s="5">
        <f>H46*'Data inputs'!$B16</f>
        <v>0</v>
      </c>
      <c r="I60" s="5">
        <f>I46*'Data inputs'!$B16</f>
        <v>0</v>
      </c>
      <c r="J60" s="5">
        <f>J46*'Data inputs'!$B16</f>
        <v>0</v>
      </c>
      <c r="K60" s="5">
        <f>K46*'Data inputs'!$B16</f>
        <v>0</v>
      </c>
      <c r="L60" s="5">
        <f t="shared" si="20"/>
        <v>0</v>
      </c>
    </row>
    <row r="61" spans="1:14" x14ac:dyDescent="0.25">
      <c r="A61" s="4" t="s">
        <v>124</v>
      </c>
      <c r="B61" s="5">
        <f>B47*'Data inputs'!$B17</f>
        <v>2209100.9390729787</v>
      </c>
      <c r="C61" s="5">
        <f>C47*'Data inputs'!$B17</f>
        <v>2209100.9390729787</v>
      </c>
      <c r="D61" s="5">
        <f>D47*'Data inputs'!$B17</f>
        <v>2209100.9390729787</v>
      </c>
      <c r="E61" s="5">
        <f>E47*'Data inputs'!$B17</f>
        <v>2209100.9390729787</v>
      </c>
      <c r="F61" s="5">
        <f>F47*'Data inputs'!$B17</f>
        <v>2209100.9390729787</v>
      </c>
      <c r="G61" s="5">
        <f>G47*'Data inputs'!$B17</f>
        <v>2209100.9390729787</v>
      </c>
      <c r="H61" s="5">
        <f>H47*'Data inputs'!$B17</f>
        <v>2209100.9390729787</v>
      </c>
      <c r="I61" s="5">
        <f>I47*'Data inputs'!$B17</f>
        <v>2209100.9390729787</v>
      </c>
      <c r="J61" s="5">
        <f>J47*'Data inputs'!$B17</f>
        <v>2209100.9390729787</v>
      </c>
      <c r="K61" s="5">
        <f>K47*'Data inputs'!$B17</f>
        <v>2209100.9390729787</v>
      </c>
      <c r="L61" s="5">
        <f t="shared" si="20"/>
        <v>2209100.9390729782</v>
      </c>
    </row>
    <row r="62" spans="1:14" x14ac:dyDescent="0.25">
      <c r="A62" s="4" t="s">
        <v>12</v>
      </c>
      <c r="B62" s="5">
        <f>B48*'Data inputs'!$B18</f>
        <v>3687667.102924956</v>
      </c>
      <c r="C62" s="5">
        <f>C48*'Data inputs'!$B18</f>
        <v>3687667.102924956</v>
      </c>
      <c r="D62" s="5">
        <f>D48*'Data inputs'!$B18</f>
        <v>3687667.102924956</v>
      </c>
      <c r="E62" s="5">
        <f>E48*'Data inputs'!$B18</f>
        <v>3687667.102924956</v>
      </c>
      <c r="F62" s="5">
        <f>F48*'Data inputs'!$B18</f>
        <v>3687667.102924956</v>
      </c>
      <c r="G62" s="5">
        <f>G48*'Data inputs'!$B18</f>
        <v>3687667.102924956</v>
      </c>
      <c r="H62" s="5">
        <f>H48*'Data inputs'!$B18</f>
        <v>3687667.102924956</v>
      </c>
      <c r="I62" s="5">
        <f>I48*'Data inputs'!$B18</f>
        <v>3687667.102924956</v>
      </c>
      <c r="J62" s="5">
        <f>J48*'Data inputs'!$B18</f>
        <v>3687667.102924956</v>
      </c>
      <c r="K62" s="5">
        <f>K48*'Data inputs'!$B18</f>
        <v>3687667.102924956</v>
      </c>
      <c r="L62" s="5">
        <f t="shared" si="20"/>
        <v>3687667.1029249569</v>
      </c>
    </row>
    <row r="63" spans="1:14" x14ac:dyDescent="0.25">
      <c r="A63" s="4" t="s">
        <v>13</v>
      </c>
      <c r="B63" s="5">
        <f>B49*'Data inputs'!$B19</f>
        <v>0</v>
      </c>
      <c r="C63" s="5">
        <f>C49*'Data inputs'!$B19</f>
        <v>0</v>
      </c>
      <c r="D63" s="5">
        <f>D49*'Data inputs'!$B19</f>
        <v>0</v>
      </c>
      <c r="E63" s="5">
        <f>E49*'Data inputs'!$B19</f>
        <v>0</v>
      </c>
      <c r="F63" s="5">
        <f>F49*'Data inputs'!$B19</f>
        <v>0</v>
      </c>
      <c r="G63" s="5">
        <f>G49*'Data inputs'!$B19</f>
        <v>0</v>
      </c>
      <c r="H63" s="5">
        <f>H49*'Data inputs'!$B19</f>
        <v>0</v>
      </c>
      <c r="I63" s="5">
        <f>I49*'Data inputs'!$B19</f>
        <v>0</v>
      </c>
      <c r="J63" s="5">
        <f>J49*'Data inputs'!$B19</f>
        <v>0</v>
      </c>
      <c r="K63" s="5">
        <f>K49*'Data inputs'!$B19</f>
        <v>0</v>
      </c>
      <c r="L63" s="5">
        <f t="shared" si="20"/>
        <v>0</v>
      </c>
    </row>
    <row r="64" spans="1:14" x14ac:dyDescent="0.25">
      <c r="A64" s="4" t="s">
        <v>14</v>
      </c>
      <c r="B64" s="5">
        <f>B50*'Data inputs'!$B20</f>
        <v>0</v>
      </c>
      <c r="C64" s="5">
        <f>C50*'Data inputs'!$B20</f>
        <v>0</v>
      </c>
      <c r="D64" s="5">
        <f>D50*'Data inputs'!$B20</f>
        <v>0</v>
      </c>
      <c r="E64" s="5">
        <f>E50*'Data inputs'!$B20</f>
        <v>0</v>
      </c>
      <c r="F64" s="5">
        <f>F50*'Data inputs'!$B20</f>
        <v>0</v>
      </c>
      <c r="G64" s="5">
        <f>G50*'Data inputs'!$B20</f>
        <v>0</v>
      </c>
      <c r="H64" s="5">
        <f>H50*'Data inputs'!$B20</f>
        <v>0</v>
      </c>
      <c r="I64" s="5">
        <f>I50*'Data inputs'!$B20</f>
        <v>0</v>
      </c>
      <c r="J64" s="5">
        <f>J50*'Data inputs'!$B20</f>
        <v>0</v>
      </c>
      <c r="K64" s="5">
        <f>K50*'Data inputs'!$B20</f>
        <v>0</v>
      </c>
      <c r="L64" s="5">
        <f t="shared" si="20"/>
        <v>0</v>
      </c>
    </row>
    <row r="65" spans="1:12" x14ac:dyDescent="0.25">
      <c r="A65" s="4" t="s">
        <v>125</v>
      </c>
      <c r="B65" s="5">
        <f>B51*'Data inputs'!$B21</f>
        <v>975660.43801533477</v>
      </c>
      <c r="C65" s="5">
        <f>C51*'Data inputs'!$B21</f>
        <v>975660.43801533477</v>
      </c>
      <c r="D65" s="5">
        <f>D51*'Data inputs'!$B21</f>
        <v>975660.43801533477</v>
      </c>
      <c r="E65" s="5">
        <f>E51*'Data inputs'!$B21</f>
        <v>975660.43801533477</v>
      </c>
      <c r="F65" s="5">
        <f>F51*'Data inputs'!$B21</f>
        <v>975660.43801533477</v>
      </c>
      <c r="G65" s="5">
        <f>G51*'Data inputs'!$B21</f>
        <v>975660.43801533477</v>
      </c>
      <c r="H65" s="5">
        <f>H51*'Data inputs'!$B21</f>
        <v>975660.43801533477</v>
      </c>
      <c r="I65" s="5">
        <f>I51*'Data inputs'!$B21</f>
        <v>975660.43801533477</v>
      </c>
      <c r="J65" s="5">
        <f>J51*'Data inputs'!$B21</f>
        <v>975660.43801533477</v>
      </c>
      <c r="K65" s="5">
        <f>K51*'Data inputs'!$B21</f>
        <v>975660.43801533477</v>
      </c>
      <c r="L65" s="5">
        <f t="shared" si="20"/>
        <v>975660.43801533454</v>
      </c>
    </row>
    <row r="66" spans="1:12" x14ac:dyDescent="0.25">
      <c r="A66" s="4" t="s">
        <v>37</v>
      </c>
      <c r="B66" s="5">
        <f>B52*'Data inputs'!$B22</f>
        <v>22348779.393788513</v>
      </c>
      <c r="C66" s="5">
        <f>C52*'Data inputs'!$B22</f>
        <v>22348779.393788513</v>
      </c>
      <c r="D66" s="5">
        <f>D52*'Data inputs'!$B22</f>
        <v>22348779.393788513</v>
      </c>
      <c r="E66" s="5">
        <f>E52*'Data inputs'!$B22</f>
        <v>22348779.393788513</v>
      </c>
      <c r="F66" s="5">
        <f>F52*'Data inputs'!$B22</f>
        <v>22348779.393788513</v>
      </c>
      <c r="G66" s="5">
        <f>G52*'Data inputs'!$B22</f>
        <v>22348779.393788513</v>
      </c>
      <c r="H66" s="5">
        <f>H52*'Data inputs'!$B22</f>
        <v>22348779.393788513</v>
      </c>
      <c r="I66" s="5">
        <f>I52*'Data inputs'!$B22</f>
        <v>22348779.393788513</v>
      </c>
      <c r="J66" s="5">
        <f>J52*'Data inputs'!$B22</f>
        <v>22348779.393788513</v>
      </c>
      <c r="K66" s="5">
        <f>K52*'Data inputs'!$B22</f>
        <v>22348779.393788513</v>
      </c>
      <c r="L66" s="5">
        <f t="shared" si="20"/>
        <v>22348779.393788513</v>
      </c>
    </row>
    <row r="67" spans="1:12" x14ac:dyDescent="0.25">
      <c r="A67" s="4" t="s">
        <v>38</v>
      </c>
      <c r="B67" s="5">
        <f>B53*'Data inputs'!$B23</f>
        <v>475540.60811810254</v>
      </c>
      <c r="C67" s="5">
        <f>C53*'Data inputs'!$B23</f>
        <v>475540.60811810254</v>
      </c>
      <c r="D67" s="5">
        <f>D53*'Data inputs'!$B23</f>
        <v>475540.60811810254</v>
      </c>
      <c r="E67" s="5">
        <f>E53*'Data inputs'!$B23</f>
        <v>475540.60811810254</v>
      </c>
      <c r="F67" s="5">
        <f>F53*'Data inputs'!$B23</f>
        <v>475540.60811810254</v>
      </c>
      <c r="G67" s="5">
        <f>G53*'Data inputs'!$B23</f>
        <v>475540.60811810254</v>
      </c>
      <c r="H67" s="5">
        <f>H53*'Data inputs'!$B23</f>
        <v>475540.60811810254</v>
      </c>
      <c r="I67" s="5">
        <f>I53*'Data inputs'!$B23</f>
        <v>475540.60811810254</v>
      </c>
      <c r="J67" s="5">
        <f>J53*'Data inputs'!$B23</f>
        <v>475540.60811810254</v>
      </c>
      <c r="K67" s="5">
        <f>K53*'Data inputs'!$B23</f>
        <v>475540.60811810254</v>
      </c>
      <c r="L67" s="5">
        <f t="shared" si="20"/>
        <v>475540.60811810254</v>
      </c>
    </row>
    <row r="68" spans="1:12" x14ac:dyDescent="0.25">
      <c r="A68" s="4" t="s">
        <v>15</v>
      </c>
      <c r="B68" s="13">
        <f>B54*'Data inputs'!$B24</f>
        <v>16457221.990404926</v>
      </c>
      <c r="C68" s="13">
        <f>C54*'Data inputs'!$B24</f>
        <v>16457221.990404926</v>
      </c>
      <c r="D68" s="13">
        <f>D54*'Data inputs'!$B24</f>
        <v>16457221.990404926</v>
      </c>
      <c r="E68" s="13">
        <f>E54*'Data inputs'!$B24</f>
        <v>16457221.990404926</v>
      </c>
      <c r="F68" s="13">
        <f>F54*'Data inputs'!$B24</f>
        <v>16457221.990404926</v>
      </c>
      <c r="G68" s="13">
        <f>G54*'Data inputs'!$B24</f>
        <v>16457221.990404926</v>
      </c>
      <c r="H68" s="13">
        <f>H54*'Data inputs'!$B24</f>
        <v>16457221.990404926</v>
      </c>
      <c r="I68" s="13">
        <f>I54*'Data inputs'!$B24</f>
        <v>16457221.990404926</v>
      </c>
      <c r="J68" s="13">
        <f>J54*'Data inputs'!$B24</f>
        <v>16457221.990404926</v>
      </c>
      <c r="K68" s="13">
        <f>K54*'Data inputs'!$B24</f>
        <v>16457221.990404926</v>
      </c>
      <c r="L68" s="5">
        <f t="shared" si="20"/>
        <v>16457221.99040493</v>
      </c>
    </row>
    <row r="69" spans="1:12" x14ac:dyDescent="0.25">
      <c r="B69" s="5">
        <f t="shared" ref="B69:K69" si="21">SUM(B58:B68)</f>
        <v>57085430.816802464</v>
      </c>
      <c r="C69" s="5">
        <f t="shared" si="21"/>
        <v>57085430.816802464</v>
      </c>
      <c r="D69" s="5">
        <f t="shared" si="21"/>
        <v>57085430.816802464</v>
      </c>
      <c r="E69" s="5">
        <f t="shared" si="21"/>
        <v>57085430.816802464</v>
      </c>
      <c r="F69" s="5">
        <f t="shared" si="21"/>
        <v>57085430.816802464</v>
      </c>
      <c r="G69" s="5">
        <f t="shared" si="21"/>
        <v>57085430.816802464</v>
      </c>
      <c r="H69" s="5">
        <f t="shared" si="21"/>
        <v>57085430.816802464</v>
      </c>
      <c r="I69" s="5">
        <f t="shared" si="21"/>
        <v>57085430.816802464</v>
      </c>
      <c r="J69" s="5">
        <f t="shared" si="21"/>
        <v>57085430.816802464</v>
      </c>
      <c r="K69" s="5">
        <f t="shared" si="21"/>
        <v>57085430.816802464</v>
      </c>
      <c r="L69" s="5"/>
    </row>
    <row r="72" spans="1:12" ht="30" x14ac:dyDescent="0.25">
      <c r="A72" s="15" t="s">
        <v>57</v>
      </c>
      <c r="B72" s="12" t="str">
        <f>'Summary dashboard'!C4</f>
        <v>2023</v>
      </c>
      <c r="C72" s="12">
        <f t="shared" ref="C72:K72" si="22">B57+1</f>
        <v>2024</v>
      </c>
      <c r="D72" s="12">
        <f t="shared" si="22"/>
        <v>2025</v>
      </c>
      <c r="E72" s="12">
        <f t="shared" si="22"/>
        <v>2026</v>
      </c>
      <c r="F72" s="12">
        <f t="shared" si="22"/>
        <v>2027</v>
      </c>
      <c r="G72" s="12">
        <f t="shared" si="22"/>
        <v>2028</v>
      </c>
      <c r="H72" s="12">
        <f t="shared" si="22"/>
        <v>2029</v>
      </c>
      <c r="I72" s="12">
        <f t="shared" si="22"/>
        <v>2030</v>
      </c>
      <c r="J72" s="12">
        <f t="shared" si="22"/>
        <v>2031</v>
      </c>
      <c r="K72" s="12">
        <f t="shared" si="22"/>
        <v>2032</v>
      </c>
      <c r="L72" s="1" t="s">
        <v>28</v>
      </c>
    </row>
    <row r="73" spans="1:12" x14ac:dyDescent="0.25">
      <c r="A73" s="4" t="s">
        <v>35</v>
      </c>
      <c r="B73" s="5">
        <f>B44*'Data inputs'!$C14</f>
        <v>6667985.3277249783</v>
      </c>
      <c r="C73" s="5">
        <f>C44*'Data inputs'!$C14</f>
        <v>6667985.3277249783</v>
      </c>
      <c r="D73" s="5">
        <f>D44*'Data inputs'!$C14</f>
        <v>6667985.3277249783</v>
      </c>
      <c r="E73" s="5">
        <f>E44*'Data inputs'!$C14</f>
        <v>6667985.3277249783</v>
      </c>
      <c r="F73" s="5">
        <f>F44*'Data inputs'!$C14</f>
        <v>6667985.3277249783</v>
      </c>
      <c r="G73" s="5">
        <f>G44*'Data inputs'!$C14</f>
        <v>6667985.3277249783</v>
      </c>
      <c r="H73" s="5">
        <f>H44*'Data inputs'!$C14</f>
        <v>6667985.3277249783</v>
      </c>
      <c r="I73" s="5">
        <f>I44*'Data inputs'!$C14</f>
        <v>6667985.3277249783</v>
      </c>
      <c r="J73" s="5">
        <f>J44*'Data inputs'!$C14</f>
        <v>6667985.3277249783</v>
      </c>
      <c r="K73" s="5">
        <f>K44*'Data inputs'!$C14</f>
        <v>6667985.3277249783</v>
      </c>
      <c r="L73" s="5">
        <f>AVERAGE(B73:K73)</f>
        <v>6667985.3277249783</v>
      </c>
    </row>
    <row r="74" spans="1:12" x14ac:dyDescent="0.25">
      <c r="A74" s="4" t="s">
        <v>36</v>
      </c>
      <c r="B74" s="5">
        <f>B45*'Data inputs'!$C15</f>
        <v>641277.01403744612</v>
      </c>
      <c r="C74" s="5">
        <f>C45*'Data inputs'!$C15</f>
        <v>641277.01403744612</v>
      </c>
      <c r="D74" s="5">
        <f>D45*'Data inputs'!$C15</f>
        <v>641277.01403744612</v>
      </c>
      <c r="E74" s="5">
        <f>E45*'Data inputs'!$C15</f>
        <v>641277.01403744612</v>
      </c>
      <c r="F74" s="5">
        <f>F45*'Data inputs'!$C15</f>
        <v>641277.01403744612</v>
      </c>
      <c r="G74" s="5">
        <f>G45*'Data inputs'!$C15</f>
        <v>641277.01403744612</v>
      </c>
      <c r="H74" s="5">
        <f>H45*'Data inputs'!$C15</f>
        <v>641277.01403744612</v>
      </c>
      <c r="I74" s="5">
        <f>I45*'Data inputs'!$C15</f>
        <v>641277.01403744612</v>
      </c>
      <c r="J74" s="5">
        <f>J45*'Data inputs'!$C15</f>
        <v>641277.01403744612</v>
      </c>
      <c r="K74" s="5">
        <f>K45*'Data inputs'!$C15</f>
        <v>641277.01403744612</v>
      </c>
      <c r="L74" s="5">
        <f t="shared" ref="L74:L83" si="23">AVERAGE(B74:K74)</f>
        <v>641277.01403744612</v>
      </c>
    </row>
    <row r="75" spans="1:12" x14ac:dyDescent="0.25">
      <c r="A75" s="4" t="s">
        <v>11</v>
      </c>
      <c r="B75" s="5">
        <f>B46*'Data inputs'!$C16</f>
        <v>0</v>
      </c>
      <c r="C75" s="5">
        <f>C46*'Data inputs'!$C16</f>
        <v>0</v>
      </c>
      <c r="D75" s="5">
        <f>D46*'Data inputs'!$C16</f>
        <v>0</v>
      </c>
      <c r="E75" s="5">
        <f>E46*'Data inputs'!$C16</f>
        <v>0</v>
      </c>
      <c r="F75" s="5">
        <f>F46*'Data inputs'!$C16</f>
        <v>0</v>
      </c>
      <c r="G75" s="5">
        <f>G46*'Data inputs'!$C16</f>
        <v>0</v>
      </c>
      <c r="H75" s="5">
        <f>H46*'Data inputs'!$C16</f>
        <v>0</v>
      </c>
      <c r="I75" s="5">
        <f>I46*'Data inputs'!$C16</f>
        <v>0</v>
      </c>
      <c r="J75" s="5">
        <f>J46*'Data inputs'!$C16</f>
        <v>0</v>
      </c>
      <c r="K75" s="5">
        <f>K46*'Data inputs'!$C16</f>
        <v>0</v>
      </c>
      <c r="L75" s="5">
        <f t="shared" si="23"/>
        <v>0</v>
      </c>
    </row>
    <row r="76" spans="1:12" x14ac:dyDescent="0.25">
      <c r="A76" s="4" t="s">
        <v>124</v>
      </c>
      <c r="B76" s="5">
        <f>B47*'Data inputs'!$C17</f>
        <v>1656825.704304734</v>
      </c>
      <c r="C76" s="5">
        <f>C47*'Data inputs'!$C17</f>
        <v>1656825.704304734</v>
      </c>
      <c r="D76" s="5">
        <f>D47*'Data inputs'!$C17</f>
        <v>1656825.704304734</v>
      </c>
      <c r="E76" s="5">
        <f>E47*'Data inputs'!$C17</f>
        <v>1656825.704304734</v>
      </c>
      <c r="F76" s="5">
        <f>F47*'Data inputs'!$C17</f>
        <v>1656825.704304734</v>
      </c>
      <c r="G76" s="5">
        <f>G47*'Data inputs'!$C17</f>
        <v>1656825.704304734</v>
      </c>
      <c r="H76" s="5">
        <f>H47*'Data inputs'!$C17</f>
        <v>1656825.704304734</v>
      </c>
      <c r="I76" s="5">
        <f>I47*'Data inputs'!$C17</f>
        <v>1656825.704304734</v>
      </c>
      <c r="J76" s="5">
        <f>J47*'Data inputs'!$C17</f>
        <v>1656825.704304734</v>
      </c>
      <c r="K76" s="5">
        <f>K47*'Data inputs'!$C17</f>
        <v>1656825.704304734</v>
      </c>
      <c r="L76" s="5">
        <f t="shared" si="23"/>
        <v>1656825.704304734</v>
      </c>
    </row>
    <row r="77" spans="1:12" x14ac:dyDescent="0.25">
      <c r="A77" s="4" t="s">
        <v>12</v>
      </c>
      <c r="B77" s="5">
        <f>B48*'Data inputs'!$C18</f>
        <v>0</v>
      </c>
      <c r="C77" s="5">
        <f>C48*'Data inputs'!$C18</f>
        <v>0</v>
      </c>
      <c r="D77" s="5">
        <f>D48*'Data inputs'!$C18</f>
        <v>0</v>
      </c>
      <c r="E77" s="5">
        <f>E48*'Data inputs'!$C18</f>
        <v>0</v>
      </c>
      <c r="F77" s="5">
        <f>F48*'Data inputs'!$C18</f>
        <v>0</v>
      </c>
      <c r="G77" s="5">
        <f>G48*'Data inputs'!$C18</f>
        <v>0</v>
      </c>
      <c r="H77" s="5">
        <f>H48*'Data inputs'!$C18</f>
        <v>0</v>
      </c>
      <c r="I77" s="5">
        <f>I48*'Data inputs'!$C18</f>
        <v>0</v>
      </c>
      <c r="J77" s="5">
        <f>J48*'Data inputs'!$C18</f>
        <v>0</v>
      </c>
      <c r="K77" s="5">
        <f>K48*'Data inputs'!$C18</f>
        <v>0</v>
      </c>
      <c r="L77" s="5">
        <f t="shared" si="23"/>
        <v>0</v>
      </c>
    </row>
    <row r="78" spans="1:12" x14ac:dyDescent="0.25">
      <c r="A78" s="4" t="s">
        <v>13</v>
      </c>
      <c r="B78" s="5">
        <f>B49*'Data inputs'!$C19</f>
        <v>0</v>
      </c>
      <c r="C78" s="5">
        <f>C49*'Data inputs'!$C19</f>
        <v>0</v>
      </c>
      <c r="D78" s="5">
        <f>D49*'Data inputs'!$C19</f>
        <v>0</v>
      </c>
      <c r="E78" s="5">
        <f>E49*'Data inputs'!$C19</f>
        <v>0</v>
      </c>
      <c r="F78" s="5">
        <f>F49*'Data inputs'!$C19</f>
        <v>0</v>
      </c>
      <c r="G78" s="5">
        <f>G49*'Data inputs'!$C19</f>
        <v>0</v>
      </c>
      <c r="H78" s="5">
        <f>H49*'Data inputs'!$C19</f>
        <v>0</v>
      </c>
      <c r="I78" s="5">
        <f>I49*'Data inputs'!$C19</f>
        <v>0</v>
      </c>
      <c r="J78" s="5">
        <f>J49*'Data inputs'!$C19</f>
        <v>0</v>
      </c>
      <c r="K78" s="5">
        <f>K49*'Data inputs'!$C19</f>
        <v>0</v>
      </c>
      <c r="L78" s="5">
        <f t="shared" si="23"/>
        <v>0</v>
      </c>
    </row>
    <row r="79" spans="1:12" x14ac:dyDescent="0.25">
      <c r="A79" s="4" t="s">
        <v>14</v>
      </c>
      <c r="B79" s="5">
        <f>B50*'Data inputs'!$C20</f>
        <v>0</v>
      </c>
      <c r="C79" s="5">
        <f>C50*'Data inputs'!$C20</f>
        <v>0</v>
      </c>
      <c r="D79" s="5">
        <f>D50*'Data inputs'!$C20</f>
        <v>0</v>
      </c>
      <c r="E79" s="5">
        <f>E50*'Data inputs'!$C20</f>
        <v>0</v>
      </c>
      <c r="F79" s="5">
        <f>F50*'Data inputs'!$C20</f>
        <v>0</v>
      </c>
      <c r="G79" s="5">
        <f>G50*'Data inputs'!$C20</f>
        <v>0</v>
      </c>
      <c r="H79" s="5">
        <f>H50*'Data inputs'!$C20</f>
        <v>0</v>
      </c>
      <c r="I79" s="5">
        <f>I50*'Data inputs'!$C20</f>
        <v>0</v>
      </c>
      <c r="J79" s="5">
        <f>J50*'Data inputs'!$C20</f>
        <v>0</v>
      </c>
      <c r="K79" s="5">
        <f>K50*'Data inputs'!$C20</f>
        <v>0</v>
      </c>
      <c r="L79" s="5">
        <f t="shared" si="23"/>
        <v>0</v>
      </c>
    </row>
    <row r="80" spans="1:12" x14ac:dyDescent="0.25">
      <c r="A80" s="4" t="s">
        <v>125</v>
      </c>
      <c r="B80" s="5">
        <f>B51*'Data inputs'!$C21</f>
        <v>731745.32851150108</v>
      </c>
      <c r="C80" s="5">
        <f>C51*'Data inputs'!$C21</f>
        <v>731745.32851150108</v>
      </c>
      <c r="D80" s="5">
        <f>D51*'Data inputs'!$C21</f>
        <v>731745.32851150108</v>
      </c>
      <c r="E80" s="5">
        <f>E51*'Data inputs'!$C21</f>
        <v>731745.32851150108</v>
      </c>
      <c r="F80" s="5">
        <f>F51*'Data inputs'!$C21</f>
        <v>731745.32851150108</v>
      </c>
      <c r="G80" s="5">
        <f>G51*'Data inputs'!$C21</f>
        <v>731745.32851150108</v>
      </c>
      <c r="H80" s="5">
        <f>H51*'Data inputs'!$C21</f>
        <v>731745.32851150108</v>
      </c>
      <c r="I80" s="5">
        <f>I51*'Data inputs'!$C21</f>
        <v>731745.32851150108</v>
      </c>
      <c r="J80" s="5">
        <f>J51*'Data inputs'!$C21</f>
        <v>731745.32851150108</v>
      </c>
      <c r="K80" s="5">
        <f>K51*'Data inputs'!$C21</f>
        <v>731745.32851150108</v>
      </c>
      <c r="L80" s="5">
        <f t="shared" si="23"/>
        <v>731745.32851150096</v>
      </c>
    </row>
    <row r="81" spans="1:12" x14ac:dyDescent="0.25">
      <c r="A81" s="4" t="s">
        <v>37</v>
      </c>
      <c r="B81" s="5">
        <f>B52*'Data inputs'!$C22</f>
        <v>15253928.792585813</v>
      </c>
      <c r="C81" s="5">
        <f>C52*'Data inputs'!$C22</f>
        <v>15253928.792585813</v>
      </c>
      <c r="D81" s="5">
        <f>D52*'Data inputs'!$C22</f>
        <v>15253928.792585813</v>
      </c>
      <c r="E81" s="5">
        <f>E52*'Data inputs'!$C22</f>
        <v>15253928.792585813</v>
      </c>
      <c r="F81" s="5">
        <f>F52*'Data inputs'!$C22</f>
        <v>15253928.792585813</v>
      </c>
      <c r="G81" s="5">
        <f>G52*'Data inputs'!$C22</f>
        <v>15253928.792585813</v>
      </c>
      <c r="H81" s="5">
        <f>H52*'Data inputs'!$C22</f>
        <v>15253928.792585813</v>
      </c>
      <c r="I81" s="5">
        <f>I52*'Data inputs'!$C22</f>
        <v>15253928.792585813</v>
      </c>
      <c r="J81" s="5">
        <f>J52*'Data inputs'!$C22</f>
        <v>15253928.792585813</v>
      </c>
      <c r="K81" s="5">
        <f>K52*'Data inputs'!$C22</f>
        <v>15253928.792585813</v>
      </c>
      <c r="L81" s="5">
        <f t="shared" si="23"/>
        <v>15253928.792585816</v>
      </c>
    </row>
    <row r="82" spans="1:12" x14ac:dyDescent="0.25">
      <c r="A82" s="4" t="s">
        <v>38</v>
      </c>
      <c r="B82" s="5">
        <f>B53*'Data inputs'!$C23</f>
        <v>0</v>
      </c>
      <c r="C82" s="5">
        <f>C53*'Data inputs'!$C23</f>
        <v>0</v>
      </c>
      <c r="D82" s="5">
        <f>D53*'Data inputs'!$C23</f>
        <v>0</v>
      </c>
      <c r="E82" s="5">
        <f>E53*'Data inputs'!$C23</f>
        <v>0</v>
      </c>
      <c r="F82" s="5">
        <f>F53*'Data inputs'!$C23</f>
        <v>0</v>
      </c>
      <c r="G82" s="5">
        <f>G53*'Data inputs'!$C23</f>
        <v>0</v>
      </c>
      <c r="H82" s="5">
        <f>H53*'Data inputs'!$C23</f>
        <v>0</v>
      </c>
      <c r="I82" s="5">
        <f>I53*'Data inputs'!$C23</f>
        <v>0</v>
      </c>
      <c r="J82" s="5">
        <f>J53*'Data inputs'!$C23</f>
        <v>0</v>
      </c>
      <c r="K82" s="5">
        <f>K53*'Data inputs'!$C23</f>
        <v>0</v>
      </c>
      <c r="L82" s="5">
        <f t="shared" si="23"/>
        <v>0</v>
      </c>
    </row>
    <row r="83" spans="1:12" x14ac:dyDescent="0.25">
      <c r="A83" s="4" t="s">
        <v>15</v>
      </c>
      <c r="B83" s="13">
        <f>B54*'Data inputs'!$C24</f>
        <v>8228610.9952024613</v>
      </c>
      <c r="C83" s="13">
        <f>C54*'Data inputs'!$C24</f>
        <v>8228610.9952024613</v>
      </c>
      <c r="D83" s="13">
        <f>D54*'Data inputs'!$C24</f>
        <v>8228610.9952024613</v>
      </c>
      <c r="E83" s="13">
        <f>E54*'Data inputs'!$C24</f>
        <v>8228610.9952024613</v>
      </c>
      <c r="F83" s="13">
        <f>F54*'Data inputs'!$C24</f>
        <v>8228610.9952024613</v>
      </c>
      <c r="G83" s="13">
        <f>G54*'Data inputs'!$C24</f>
        <v>8228610.9952024613</v>
      </c>
      <c r="H83" s="13">
        <f>H54*'Data inputs'!$C24</f>
        <v>8228610.9952024613</v>
      </c>
      <c r="I83" s="13">
        <f>I54*'Data inputs'!$C24</f>
        <v>8228610.9952024613</v>
      </c>
      <c r="J83" s="13">
        <f>J54*'Data inputs'!$C24</f>
        <v>8228610.9952024613</v>
      </c>
      <c r="K83" s="13">
        <f>K54*'Data inputs'!$C24</f>
        <v>8228610.9952024613</v>
      </c>
      <c r="L83" s="5">
        <f t="shared" si="23"/>
        <v>8228610.9952024613</v>
      </c>
    </row>
    <row r="84" spans="1:12" x14ac:dyDescent="0.25">
      <c r="B84" s="5">
        <f>SUM(B73:B83)</f>
        <v>33180373.162366934</v>
      </c>
      <c r="C84" s="5">
        <f t="shared" ref="C84:K84" si="24">SUM(C73:C83)</f>
        <v>33180373.162366934</v>
      </c>
      <c r="D84" s="5">
        <f t="shared" si="24"/>
        <v>33180373.162366934</v>
      </c>
      <c r="E84" s="5">
        <f t="shared" si="24"/>
        <v>33180373.162366934</v>
      </c>
      <c r="F84" s="5">
        <f t="shared" si="24"/>
        <v>33180373.162366934</v>
      </c>
      <c r="G84" s="5">
        <f t="shared" si="24"/>
        <v>33180373.162366934</v>
      </c>
      <c r="H84" s="5">
        <f t="shared" si="24"/>
        <v>33180373.162366934</v>
      </c>
      <c r="I84" s="5">
        <f t="shared" si="24"/>
        <v>33180373.162366934</v>
      </c>
      <c r="J84" s="5">
        <f t="shared" si="24"/>
        <v>33180373.162366934</v>
      </c>
      <c r="K84" s="5">
        <f t="shared" si="24"/>
        <v>33180373.162366934</v>
      </c>
      <c r="L84" s="5"/>
    </row>
    <row r="86" spans="1:12" ht="30" x14ac:dyDescent="0.25">
      <c r="A86" s="17" t="s">
        <v>58</v>
      </c>
      <c r="B86" s="18" t="str">
        <f>'Summary dashboard'!C4</f>
        <v>2023</v>
      </c>
      <c r="C86" s="48">
        <f t="shared" ref="C86:K86" si="25">B86+1</f>
        <v>2024</v>
      </c>
      <c r="D86" s="48">
        <f t="shared" si="25"/>
        <v>2025</v>
      </c>
      <c r="E86" s="48">
        <f t="shared" si="25"/>
        <v>2026</v>
      </c>
      <c r="F86" s="48">
        <f t="shared" si="25"/>
        <v>2027</v>
      </c>
      <c r="G86" s="48">
        <f t="shared" si="25"/>
        <v>2028</v>
      </c>
      <c r="H86" s="48">
        <f t="shared" si="25"/>
        <v>2029</v>
      </c>
      <c r="I86" s="48">
        <f t="shared" si="25"/>
        <v>2030</v>
      </c>
      <c r="J86" s="48">
        <f t="shared" si="25"/>
        <v>2031</v>
      </c>
      <c r="K86" s="48">
        <f t="shared" si="25"/>
        <v>2032</v>
      </c>
      <c r="L86" s="19" t="s">
        <v>28</v>
      </c>
    </row>
    <row r="87" spans="1:12" x14ac:dyDescent="0.25">
      <c r="A87" s="20" t="s">
        <v>35</v>
      </c>
      <c r="B87" s="5">
        <f>(B73+B58)/2</f>
        <v>7837807.3150451491</v>
      </c>
      <c r="C87" s="5">
        <f t="shared" ref="C87:K87" si="26">(C73+C58)/2</f>
        <v>7837807.3150451491</v>
      </c>
      <c r="D87" s="5">
        <f t="shared" si="26"/>
        <v>7837807.3150451491</v>
      </c>
      <c r="E87" s="5">
        <f t="shared" si="26"/>
        <v>7837807.3150451491</v>
      </c>
      <c r="F87" s="5">
        <f t="shared" si="26"/>
        <v>7837807.3150451491</v>
      </c>
      <c r="G87" s="5">
        <f t="shared" si="26"/>
        <v>7837807.3150451491</v>
      </c>
      <c r="H87" s="5">
        <f t="shared" si="26"/>
        <v>7837807.3150451491</v>
      </c>
      <c r="I87" s="5">
        <f t="shared" si="26"/>
        <v>7837807.3150451491</v>
      </c>
      <c r="J87" s="5">
        <f t="shared" si="26"/>
        <v>7837807.3150451491</v>
      </c>
      <c r="K87" s="5">
        <f t="shared" si="26"/>
        <v>7837807.3150451491</v>
      </c>
      <c r="L87" s="5">
        <f t="shared" ref="L87:L97" si="27">AVERAGE(B87:K87)</f>
        <v>7837807.31504515</v>
      </c>
    </row>
    <row r="88" spans="1:12" x14ac:dyDescent="0.25">
      <c r="A88" s="20" t="s">
        <v>36</v>
      </c>
      <c r="B88" s="5">
        <f t="shared" ref="B88:K97" si="28">(B74+B59)/2</f>
        <v>1282554.0280748922</v>
      </c>
      <c r="C88" s="5">
        <f t="shared" si="28"/>
        <v>1282554.0280748922</v>
      </c>
      <c r="D88" s="5">
        <f t="shared" si="28"/>
        <v>1282554.0280748922</v>
      </c>
      <c r="E88" s="5">
        <f t="shared" si="28"/>
        <v>1282554.0280748922</v>
      </c>
      <c r="F88" s="5">
        <f t="shared" si="28"/>
        <v>1282554.0280748922</v>
      </c>
      <c r="G88" s="5">
        <f t="shared" si="28"/>
        <v>1282554.0280748922</v>
      </c>
      <c r="H88" s="5">
        <f t="shared" si="28"/>
        <v>1282554.0280748922</v>
      </c>
      <c r="I88" s="5">
        <f t="shared" si="28"/>
        <v>1282554.0280748922</v>
      </c>
      <c r="J88" s="5">
        <f t="shared" si="28"/>
        <v>1282554.0280748922</v>
      </c>
      <c r="K88" s="5">
        <f t="shared" si="28"/>
        <v>1282554.0280748922</v>
      </c>
      <c r="L88" s="5">
        <f t="shared" si="27"/>
        <v>1282554.0280748922</v>
      </c>
    </row>
    <row r="89" spans="1:12" x14ac:dyDescent="0.25">
      <c r="A89" s="20" t="s">
        <v>11</v>
      </c>
      <c r="B89" s="5">
        <f t="shared" si="28"/>
        <v>0</v>
      </c>
      <c r="C89" s="5">
        <f t="shared" si="28"/>
        <v>0</v>
      </c>
      <c r="D89" s="5">
        <f t="shared" si="28"/>
        <v>0</v>
      </c>
      <c r="E89" s="5">
        <f t="shared" si="28"/>
        <v>0</v>
      </c>
      <c r="F89" s="5">
        <f t="shared" si="28"/>
        <v>0</v>
      </c>
      <c r="G89" s="5">
        <f t="shared" si="28"/>
        <v>0</v>
      </c>
      <c r="H89" s="5">
        <f t="shared" si="28"/>
        <v>0</v>
      </c>
      <c r="I89" s="5">
        <f t="shared" si="28"/>
        <v>0</v>
      </c>
      <c r="J89" s="5">
        <f t="shared" si="28"/>
        <v>0</v>
      </c>
      <c r="K89" s="5">
        <f t="shared" si="28"/>
        <v>0</v>
      </c>
      <c r="L89" s="5">
        <f t="shared" si="27"/>
        <v>0</v>
      </c>
    </row>
    <row r="90" spans="1:12" x14ac:dyDescent="0.25">
      <c r="A90" s="20" t="s">
        <v>124</v>
      </c>
      <c r="B90" s="5">
        <f t="shared" si="28"/>
        <v>1932963.3216888565</v>
      </c>
      <c r="C90" s="5">
        <f t="shared" si="28"/>
        <v>1932963.3216888565</v>
      </c>
      <c r="D90" s="5">
        <f t="shared" si="28"/>
        <v>1932963.3216888565</v>
      </c>
      <c r="E90" s="5">
        <f t="shared" si="28"/>
        <v>1932963.3216888565</v>
      </c>
      <c r="F90" s="5">
        <f t="shared" si="28"/>
        <v>1932963.3216888565</v>
      </c>
      <c r="G90" s="5">
        <f t="shared" si="28"/>
        <v>1932963.3216888565</v>
      </c>
      <c r="H90" s="5">
        <f t="shared" si="28"/>
        <v>1932963.3216888565</v>
      </c>
      <c r="I90" s="5">
        <f t="shared" si="28"/>
        <v>1932963.3216888565</v>
      </c>
      <c r="J90" s="5">
        <f t="shared" si="28"/>
        <v>1932963.3216888565</v>
      </c>
      <c r="K90" s="5">
        <f t="shared" si="28"/>
        <v>1932963.3216888565</v>
      </c>
      <c r="L90" s="5">
        <f t="shared" si="27"/>
        <v>1932963.3216888565</v>
      </c>
    </row>
    <row r="91" spans="1:12" x14ac:dyDescent="0.25">
      <c r="A91" s="20" t="s">
        <v>12</v>
      </c>
      <c r="B91" s="5">
        <f t="shared" si="28"/>
        <v>1843833.551462478</v>
      </c>
      <c r="C91" s="5">
        <f t="shared" si="28"/>
        <v>1843833.551462478</v>
      </c>
      <c r="D91" s="5">
        <f t="shared" si="28"/>
        <v>1843833.551462478</v>
      </c>
      <c r="E91" s="5">
        <f t="shared" si="28"/>
        <v>1843833.551462478</v>
      </c>
      <c r="F91" s="5">
        <f t="shared" si="28"/>
        <v>1843833.551462478</v>
      </c>
      <c r="G91" s="5">
        <f t="shared" si="28"/>
        <v>1843833.551462478</v>
      </c>
      <c r="H91" s="5">
        <f t="shared" si="28"/>
        <v>1843833.551462478</v>
      </c>
      <c r="I91" s="5">
        <f t="shared" si="28"/>
        <v>1843833.551462478</v>
      </c>
      <c r="J91" s="5">
        <f t="shared" si="28"/>
        <v>1843833.551462478</v>
      </c>
      <c r="K91" s="5">
        <f t="shared" si="28"/>
        <v>1843833.551462478</v>
      </c>
      <c r="L91" s="5">
        <f t="shared" si="27"/>
        <v>1843833.5514624785</v>
      </c>
    </row>
    <row r="92" spans="1:12" x14ac:dyDescent="0.25">
      <c r="A92" s="20" t="s">
        <v>13</v>
      </c>
      <c r="B92" s="5">
        <f t="shared" si="28"/>
        <v>0</v>
      </c>
      <c r="C92" s="5">
        <f t="shared" si="28"/>
        <v>0</v>
      </c>
      <c r="D92" s="5">
        <f t="shared" si="28"/>
        <v>0</v>
      </c>
      <c r="E92" s="5">
        <f t="shared" si="28"/>
        <v>0</v>
      </c>
      <c r="F92" s="5">
        <f t="shared" si="28"/>
        <v>0</v>
      </c>
      <c r="G92" s="5">
        <f t="shared" si="28"/>
        <v>0</v>
      </c>
      <c r="H92" s="5">
        <f t="shared" si="28"/>
        <v>0</v>
      </c>
      <c r="I92" s="5">
        <f t="shared" si="28"/>
        <v>0</v>
      </c>
      <c r="J92" s="5">
        <f t="shared" si="28"/>
        <v>0</v>
      </c>
      <c r="K92" s="5">
        <f t="shared" si="28"/>
        <v>0</v>
      </c>
      <c r="L92" s="5">
        <f t="shared" si="27"/>
        <v>0</v>
      </c>
    </row>
    <row r="93" spans="1:12" x14ac:dyDescent="0.25">
      <c r="A93" s="20" t="s">
        <v>14</v>
      </c>
      <c r="B93" s="5">
        <f t="shared" si="28"/>
        <v>0</v>
      </c>
      <c r="C93" s="5">
        <f t="shared" si="28"/>
        <v>0</v>
      </c>
      <c r="D93" s="5">
        <f t="shared" si="28"/>
        <v>0</v>
      </c>
      <c r="E93" s="5">
        <f t="shared" si="28"/>
        <v>0</v>
      </c>
      <c r="F93" s="5">
        <f t="shared" si="28"/>
        <v>0</v>
      </c>
      <c r="G93" s="5">
        <f t="shared" si="28"/>
        <v>0</v>
      </c>
      <c r="H93" s="5">
        <f t="shared" si="28"/>
        <v>0</v>
      </c>
      <c r="I93" s="5">
        <f t="shared" si="28"/>
        <v>0</v>
      </c>
      <c r="J93" s="5">
        <f t="shared" si="28"/>
        <v>0</v>
      </c>
      <c r="K93" s="5">
        <f t="shared" si="28"/>
        <v>0</v>
      </c>
      <c r="L93" s="5">
        <f t="shared" si="27"/>
        <v>0</v>
      </c>
    </row>
    <row r="94" spans="1:12" x14ac:dyDescent="0.25">
      <c r="A94" s="20" t="s">
        <v>125</v>
      </c>
      <c r="B94" s="5">
        <f t="shared" si="28"/>
        <v>853702.88326341799</v>
      </c>
      <c r="C94" s="5">
        <f t="shared" si="28"/>
        <v>853702.88326341799</v>
      </c>
      <c r="D94" s="5">
        <f t="shared" si="28"/>
        <v>853702.88326341799</v>
      </c>
      <c r="E94" s="5">
        <f t="shared" si="28"/>
        <v>853702.88326341799</v>
      </c>
      <c r="F94" s="5">
        <f t="shared" si="28"/>
        <v>853702.88326341799</v>
      </c>
      <c r="G94" s="5">
        <f t="shared" si="28"/>
        <v>853702.88326341799</v>
      </c>
      <c r="H94" s="5">
        <f t="shared" si="28"/>
        <v>853702.88326341799</v>
      </c>
      <c r="I94" s="5">
        <f t="shared" si="28"/>
        <v>853702.88326341799</v>
      </c>
      <c r="J94" s="5">
        <f t="shared" si="28"/>
        <v>853702.88326341799</v>
      </c>
      <c r="K94" s="5">
        <f t="shared" si="28"/>
        <v>853702.88326341799</v>
      </c>
      <c r="L94" s="5">
        <f t="shared" si="27"/>
        <v>853702.88326341822</v>
      </c>
    </row>
    <row r="95" spans="1:12" x14ac:dyDescent="0.25">
      <c r="A95" s="20" t="s">
        <v>37</v>
      </c>
      <c r="B95" s="5">
        <f t="shared" si="28"/>
        <v>18801354.093187161</v>
      </c>
      <c r="C95" s="5">
        <f t="shared" si="28"/>
        <v>18801354.093187161</v>
      </c>
      <c r="D95" s="5">
        <f t="shared" si="28"/>
        <v>18801354.093187161</v>
      </c>
      <c r="E95" s="5">
        <f t="shared" si="28"/>
        <v>18801354.093187161</v>
      </c>
      <c r="F95" s="5">
        <f t="shared" si="28"/>
        <v>18801354.093187161</v>
      </c>
      <c r="G95" s="5">
        <f t="shared" si="28"/>
        <v>18801354.093187161</v>
      </c>
      <c r="H95" s="5">
        <f t="shared" si="28"/>
        <v>18801354.093187161</v>
      </c>
      <c r="I95" s="5">
        <f t="shared" si="28"/>
        <v>18801354.093187161</v>
      </c>
      <c r="J95" s="5">
        <f t="shared" si="28"/>
        <v>18801354.093187161</v>
      </c>
      <c r="K95" s="5">
        <f t="shared" si="28"/>
        <v>18801354.093187161</v>
      </c>
      <c r="L95" s="5">
        <f t="shared" si="27"/>
        <v>18801354.093187157</v>
      </c>
    </row>
    <row r="96" spans="1:12" x14ac:dyDescent="0.25">
      <c r="A96" s="20" t="s">
        <v>38</v>
      </c>
      <c r="B96" s="5">
        <f t="shared" si="28"/>
        <v>237770.30405905127</v>
      </c>
      <c r="C96" s="5">
        <f t="shared" si="28"/>
        <v>237770.30405905127</v>
      </c>
      <c r="D96" s="5">
        <f t="shared" si="28"/>
        <v>237770.30405905127</v>
      </c>
      <c r="E96" s="5">
        <f t="shared" si="28"/>
        <v>237770.30405905127</v>
      </c>
      <c r="F96" s="5">
        <f t="shared" si="28"/>
        <v>237770.30405905127</v>
      </c>
      <c r="G96" s="5">
        <f t="shared" si="28"/>
        <v>237770.30405905127</v>
      </c>
      <c r="H96" s="5">
        <f t="shared" si="28"/>
        <v>237770.30405905127</v>
      </c>
      <c r="I96" s="5">
        <f t="shared" si="28"/>
        <v>237770.30405905127</v>
      </c>
      <c r="J96" s="5">
        <f t="shared" si="28"/>
        <v>237770.30405905127</v>
      </c>
      <c r="K96" s="5">
        <f t="shared" si="28"/>
        <v>237770.30405905127</v>
      </c>
      <c r="L96" s="5">
        <f t="shared" si="27"/>
        <v>237770.30405905127</v>
      </c>
    </row>
    <row r="97" spans="1:12" x14ac:dyDescent="0.25">
      <c r="A97" s="20" t="s">
        <v>15</v>
      </c>
      <c r="B97" s="13">
        <f t="shared" si="28"/>
        <v>12342916.492803693</v>
      </c>
      <c r="C97" s="13">
        <f t="shared" si="28"/>
        <v>12342916.492803693</v>
      </c>
      <c r="D97" s="13">
        <f t="shared" si="28"/>
        <v>12342916.492803693</v>
      </c>
      <c r="E97" s="13">
        <f t="shared" si="28"/>
        <v>12342916.492803693</v>
      </c>
      <c r="F97" s="13">
        <f t="shared" si="28"/>
        <v>12342916.492803693</v>
      </c>
      <c r="G97" s="13">
        <f t="shared" si="28"/>
        <v>12342916.492803693</v>
      </c>
      <c r="H97" s="13">
        <f t="shared" si="28"/>
        <v>12342916.492803693</v>
      </c>
      <c r="I97" s="13">
        <f t="shared" si="28"/>
        <v>12342916.492803693</v>
      </c>
      <c r="J97" s="13">
        <f t="shared" si="28"/>
        <v>12342916.492803693</v>
      </c>
      <c r="K97" s="13">
        <f t="shared" si="28"/>
        <v>12342916.492803693</v>
      </c>
      <c r="L97" s="5">
        <f t="shared" si="27"/>
        <v>12342916.492803693</v>
      </c>
    </row>
    <row r="98" spans="1:12" x14ac:dyDescent="0.25">
      <c r="A98" s="5"/>
      <c r="B98" s="5">
        <f t="shared" ref="B98:K98" si="29">SUM(B87:B97)</f>
        <v>45132901.989584699</v>
      </c>
      <c r="C98" s="5">
        <f t="shared" si="29"/>
        <v>45132901.989584699</v>
      </c>
      <c r="D98" s="5">
        <f t="shared" si="29"/>
        <v>45132901.989584699</v>
      </c>
      <c r="E98" s="5">
        <f t="shared" si="29"/>
        <v>45132901.989584699</v>
      </c>
      <c r="F98" s="5">
        <f t="shared" si="29"/>
        <v>45132901.989584699</v>
      </c>
      <c r="G98" s="5">
        <f t="shared" si="29"/>
        <v>45132901.989584699</v>
      </c>
      <c r="H98" s="5">
        <f t="shared" si="29"/>
        <v>45132901.989584699</v>
      </c>
      <c r="I98" s="5">
        <f t="shared" si="29"/>
        <v>45132901.989584699</v>
      </c>
      <c r="J98" s="5">
        <f t="shared" si="29"/>
        <v>45132901.989584699</v>
      </c>
      <c r="K98" s="5">
        <f t="shared" si="29"/>
        <v>45132901.989584699</v>
      </c>
      <c r="L98" s="5"/>
    </row>
    <row r="100" spans="1:12" x14ac:dyDescent="0.25">
      <c r="A100" s="1" t="s">
        <v>52</v>
      </c>
      <c r="B100" s="1" t="str">
        <f>'Summary dashboard'!C4</f>
        <v>2023</v>
      </c>
      <c r="C100" s="1">
        <f>B100+1</f>
        <v>2024</v>
      </c>
      <c r="D100" s="1">
        <f t="shared" ref="D100:K100" si="30">C100+1</f>
        <v>2025</v>
      </c>
      <c r="E100" s="1">
        <f t="shared" si="30"/>
        <v>2026</v>
      </c>
      <c r="F100" s="1">
        <f t="shared" si="30"/>
        <v>2027</v>
      </c>
      <c r="G100" s="1">
        <f t="shared" si="30"/>
        <v>2028</v>
      </c>
      <c r="H100" s="1">
        <f t="shared" si="30"/>
        <v>2029</v>
      </c>
      <c r="I100" s="1">
        <f t="shared" si="30"/>
        <v>2030</v>
      </c>
      <c r="J100" s="1">
        <f t="shared" si="30"/>
        <v>2031</v>
      </c>
      <c r="K100" s="1">
        <f t="shared" si="30"/>
        <v>2032</v>
      </c>
    </row>
    <row r="101" spans="1:12" x14ac:dyDescent="0.25">
      <c r="A101" t="s">
        <v>73</v>
      </c>
      <c r="B101" s="16">
        <f>SUM(B87:B97)/SUM(B44:B54)</f>
        <v>0.32159380996229325</v>
      </c>
      <c r="C101" s="16">
        <f t="shared" ref="C101:K101" si="31">SUM(C87:C97)/SUM(C44:C54)</f>
        <v>0.32159380996229325</v>
      </c>
      <c r="D101" s="16">
        <f t="shared" si="31"/>
        <v>0.32159380996229325</v>
      </c>
      <c r="E101" s="16">
        <f t="shared" si="31"/>
        <v>0.32159380996229325</v>
      </c>
      <c r="F101" s="16">
        <f t="shared" si="31"/>
        <v>0.32159380996229325</v>
      </c>
      <c r="G101" s="16">
        <f t="shared" si="31"/>
        <v>0.32159380996229325</v>
      </c>
      <c r="H101" s="16">
        <f t="shared" si="31"/>
        <v>0.32159380996229325</v>
      </c>
      <c r="I101" s="16">
        <f t="shared" si="31"/>
        <v>0.32159380996229325</v>
      </c>
      <c r="J101" s="16">
        <f t="shared" si="31"/>
        <v>0.32159380996229325</v>
      </c>
      <c r="K101" s="16">
        <f t="shared" si="31"/>
        <v>0.32159380996229325</v>
      </c>
    </row>
    <row r="102" spans="1:12" x14ac:dyDescent="0.25">
      <c r="A102" t="s">
        <v>70</v>
      </c>
      <c r="B102" s="16">
        <f>SUM(B84:K84)/SUM($B$55:$K$55)</f>
        <v>0.23642624672613907</v>
      </c>
    </row>
    <row r="103" spans="1:12" x14ac:dyDescent="0.25">
      <c r="A103" t="s">
        <v>71</v>
      </c>
      <c r="B103" s="16">
        <f>SUM(B98:K98)/SUM($B$55:$K$55)</f>
        <v>0.32159380996229314</v>
      </c>
    </row>
    <row r="104" spans="1:12" x14ac:dyDescent="0.25">
      <c r="A104" t="s">
        <v>72</v>
      </c>
      <c r="B104" s="16">
        <f>SUM(B69:K69)/SUM($B$55:$K$55)</f>
        <v>0.40676137319844724</v>
      </c>
    </row>
  </sheetData>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19D9DE6F-AA8C-43E6-B46B-F8CCE0CF4DAE}">
          <x14:formula1>
            <xm:f>Lists!$C$2:$C$7</xm:f>
          </x14:formula1>
          <xm:sqref>A1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2441ADCC9AB2D488C245AE33F344305" ma:contentTypeVersion="13" ma:contentTypeDescription="Create a new document." ma:contentTypeScope="" ma:versionID="f208f4ad414d511b35c2648170b3fa5f">
  <xsd:schema xmlns:xsd="http://www.w3.org/2001/XMLSchema" xmlns:xs="http://www.w3.org/2001/XMLSchema" xmlns:p="http://schemas.microsoft.com/office/2006/metadata/properties" xmlns:ns2="8e122906-018d-46c6-82c7-847d64643fec" xmlns:ns3="fcd9ff76-dbd5-4f9b-b0d2-8607837632b8" targetNamespace="http://schemas.microsoft.com/office/2006/metadata/properties" ma:root="true" ma:fieldsID="19bc66d2e69f6adc4cb06d9b7ec7a794" ns2:_="" ns3:_="">
    <xsd:import namespace="8e122906-018d-46c6-82c7-847d64643fec"/>
    <xsd:import namespace="fcd9ff76-dbd5-4f9b-b0d2-8607837632b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122906-018d-46c6-82c7-847d64643fe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cd9ff76-dbd5-4f9b-b0d2-8607837632b8"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83D9B1-D7E4-4D34-AAC8-3C6DE6BA5ACA}">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91D01419-F224-4559-A5D3-0685D37FE3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122906-018d-46c6-82c7-847d64643fec"/>
    <ds:schemaRef ds:uri="fcd9ff76-dbd5-4f9b-b0d2-8607837632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E26C3AE-44D3-4FC0-B2D5-06387460E04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USER GUIDE</vt:lpstr>
      <vt:lpstr>Summary dashboard</vt:lpstr>
      <vt:lpstr>CMA dashboard</vt:lpstr>
      <vt:lpstr>Data inputs</vt:lpstr>
      <vt:lpstr>CMA function inputs</vt:lpstr>
      <vt:lpstr>E_unitcost</vt:lpstr>
      <vt:lpstr>E_budgeted</vt:lpstr>
      <vt:lpstr>E_mincost</vt:lpstr>
      <vt:lpstr>Limpopo-Olifants CMA</vt:lpstr>
      <vt:lpstr>Inkomati-Pongola CMA</vt:lpstr>
      <vt:lpstr>Mkuze-Mtamvuna CMA</vt:lpstr>
      <vt:lpstr>Vaal-Orange CMA</vt:lpstr>
      <vt:lpstr>Mzimvubu-Tsitsikamma CMA</vt:lpstr>
      <vt:lpstr>Breede-Olifants CMA</vt:lpstr>
      <vt:lpstr>Lists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Brendon van Niekerk</dc:creator>
  <cp:lastModifiedBy>Brendon van Niekerk</cp:lastModifiedBy>
  <cp:lastPrinted>2022-02-02T13:49:50Z</cp:lastPrinted>
  <dcterms:created xsi:type="dcterms:W3CDTF">2022-01-28T07:52:03Z</dcterms:created>
  <dcterms:modified xsi:type="dcterms:W3CDTF">2022-04-08T10:22:51Z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0x01010002441ADCC9AB2D488C245AE33F344305</vt:lpwstr>
  </property>
</Properties>
</file>